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universityofsussex.sharepoint.com/sites/HRSystemsReporting/Shared Documents/Resourcelink and MyView - retention date 7 years/Holiday Calculation spreadsheet/"/>
    </mc:Choice>
  </mc:AlternateContent>
  <xr:revisionPtr revIDLastSave="24" documentId="8_{B5F39E81-38FF-4BC6-8E71-CC57718D34F5}" xr6:coauthVersionLast="47" xr6:coauthVersionMax="47" xr10:uidLastSave="{00A357BD-B642-441B-9473-DAF3E8F118FB}"/>
  <bookViews>
    <workbookView xWindow="28680" yWindow="-120" windowWidth="29040" windowHeight="15840" xr2:uid="{863D14C1-F433-49FC-B87E-B59603C215E4}"/>
  </bookViews>
  <sheets>
    <sheet name="Sheet1" sheetId="1" r:id="rId1"/>
    <sheet name="Sheet2"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1" l="1"/>
  <c r="C20" i="2" l="1"/>
  <c r="B22" i="1" s="1"/>
  <c r="C23" i="2"/>
  <c r="D26" i="2"/>
  <c r="C26" i="2"/>
  <c r="O20" i="2" l="1"/>
  <c r="O19" i="2"/>
  <c r="O17" i="2"/>
  <c r="O16" i="2"/>
  <c r="O15" i="2"/>
  <c r="O14" i="2"/>
  <c r="O13" i="2"/>
  <c r="E8" i="2"/>
  <c r="H8" i="2" s="1"/>
  <c r="D8" i="2"/>
  <c r="C8" i="2"/>
  <c r="E7" i="2"/>
  <c r="D7" i="2"/>
  <c r="C7" i="2"/>
  <c r="H7" i="2" s="1"/>
  <c r="E6" i="2"/>
  <c r="H6" i="2" s="1"/>
  <c r="D6" i="2"/>
  <c r="C6" i="2"/>
  <c r="E5" i="2"/>
  <c r="H5" i="2" s="1"/>
  <c r="D5" i="2"/>
  <c r="C5" i="2"/>
  <c r="E4" i="2"/>
  <c r="H4" i="2" s="1"/>
  <c r="D4" i="2"/>
  <c r="C4" i="2"/>
  <c r="E3" i="2"/>
  <c r="H3" i="2" s="1"/>
  <c r="D3" i="2"/>
  <c r="C3" i="2"/>
  <c r="D2" i="2"/>
  <c r="H2" i="2" s="1"/>
  <c r="C2" i="2"/>
  <c r="A27" i="1"/>
  <c r="B18" i="1"/>
  <c r="B26" i="1" s="1"/>
  <c r="E26" i="2" l="1"/>
  <c r="N20" i="2"/>
  <c r="N17" i="2"/>
  <c r="N14" i="2"/>
  <c r="N16" i="2"/>
  <c r="N19" i="2"/>
  <c r="N10" i="2"/>
  <c r="N13" i="2"/>
  <c r="N6" i="2"/>
  <c r="N15" i="2"/>
  <c r="N11" i="2"/>
  <c r="N9" i="2"/>
  <c r="N8" i="2"/>
  <c r="N7" i="2"/>
  <c r="N12" i="2"/>
  <c r="N21" i="2" l="1"/>
  <c r="B27" i="1" s="1"/>
  <c r="B28" i="1" s="1"/>
</calcChain>
</file>

<file path=xl/sharedStrings.xml><?xml version="1.0" encoding="utf-8"?>
<sst xmlns="http://schemas.openxmlformats.org/spreadsheetml/2006/main" count="89" uniqueCount="58">
  <si>
    <t>Staff Holiday Calculator</t>
  </si>
  <si>
    <t xml:space="preserve">Please note that MyView will automatically calculate your annual leave entitlement based on your contract, please use this form if you would like to manually calculate your holiday entitlement. </t>
  </si>
  <si>
    <t>These hours may differ slightly as MyView may round up to the nearest half hour during calculations.</t>
  </si>
  <si>
    <t>Terms &amp; Conditions</t>
  </si>
  <si>
    <t>Clerical (G1-6), less than 3 years service</t>
  </si>
  <si>
    <t>Mandatory</t>
  </si>
  <si>
    <t>Status</t>
  </si>
  <si>
    <t>Working Pattern</t>
  </si>
  <si>
    <t>Monday</t>
  </si>
  <si>
    <t>Enter your daily hours or zero if non working day</t>
  </si>
  <si>
    <t>Tuesday</t>
  </si>
  <si>
    <t>NB: Full time weekly hours for grades 1-6 are 36.5 (7.3 per day)</t>
  </si>
  <si>
    <t>Wednesday</t>
  </si>
  <si>
    <t>NB: Full time weekly hours for grades 7-10 are 37.5 (7.5 per day)</t>
  </si>
  <si>
    <t>Thursday</t>
  </si>
  <si>
    <t>NB: Full time weekly hours for Clincial staff are 40 (8 per day)</t>
  </si>
  <si>
    <t>Friday</t>
  </si>
  <si>
    <t>Total</t>
  </si>
  <si>
    <t>From</t>
  </si>
  <si>
    <t>NB: The holiday year runs from 1/10 (or put start date if later)</t>
  </si>
  <si>
    <t>To</t>
  </si>
  <si>
    <t>NB: The holiday year ends on 30/09 (or put end date if earlier)</t>
  </si>
  <si>
    <t>Total days</t>
  </si>
  <si>
    <t>Total Entitlement</t>
  </si>
  <si>
    <t>Full time entitlement in hours for a full year</t>
  </si>
  <si>
    <t>Your Total Entitlement</t>
  </si>
  <si>
    <t>This is based on the number of full time entitlement to annual leave, bank holidays and minimum service days and pro rata for your hours and number of days worked in this year.</t>
  </si>
  <si>
    <t>Hours to be booked on the bank holidays and minimum service days based on the above work pattern.</t>
  </si>
  <si>
    <t>Bookable Leave</t>
  </si>
  <si>
    <t>Please note that this is a guide, MyView may round to the nearest half hour</t>
  </si>
  <si>
    <t>Contract</t>
  </si>
  <si>
    <t>Hol</t>
  </si>
  <si>
    <t>Norm MSD</t>
  </si>
  <si>
    <t>Norm BH</t>
  </si>
  <si>
    <t>Add. MSD</t>
  </si>
  <si>
    <t>Add. BH</t>
  </si>
  <si>
    <t>Bank hoidays and minimum service days falling within the current holiday year</t>
  </si>
  <si>
    <t>Grade 7-10</t>
  </si>
  <si>
    <t>Clinical</t>
  </si>
  <si>
    <t>Clinical (7 years service)</t>
  </si>
  <si>
    <t>Clerical (G1-6), 3 years service</t>
  </si>
  <si>
    <t>Winter closure</t>
  </si>
  <si>
    <t>MSD</t>
  </si>
  <si>
    <t>Clerical (G1-6), 4 years service</t>
  </si>
  <si>
    <t>BH</t>
  </si>
  <si>
    <t>Clerical (G1-6), 5 years service</t>
  </si>
  <si>
    <t>Easter Closure</t>
  </si>
  <si>
    <t>Terms</t>
  </si>
  <si>
    <t>Full Time</t>
  </si>
  <si>
    <t>Part Time</t>
  </si>
  <si>
    <t>May Bank Holiday</t>
  </si>
  <si>
    <t>Days worked</t>
  </si>
  <si>
    <t>August Bank Holiday</t>
  </si>
  <si>
    <t>Full Time Hours</t>
  </si>
  <si>
    <t>Months Worked</t>
  </si>
  <si>
    <t>Days</t>
  </si>
  <si>
    <t>Average (Day)</t>
  </si>
  <si>
    <t>For holiday year 1st October 2026 to 30th September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</si>
</sst>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3"/>
      <color theme="1"/>
      <name val="Calibri"/>
      <family val="2"/>
      <scheme val="minor"/>
    </font>
    <font>
      <b/>
      <i/>
      <sz val="11"/>
      <color rgb="FFFF0000"/>
      <name val="Calibri"/>
      <family val="2"/>
      <scheme val="minor"/>
    </font>
    <font>
      <sz val="11"/>
      <color theme="0" tint="-0.34998626667073579"/>
      <name val="Calibri"/>
      <family val="2"/>
      <scheme val="minor"/>
    </font>
    <font>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2" fillId="0" borderId="0" xfId="0" applyFont="1"/>
    <xf numFmtId="0" fontId="1" fillId="0" borderId="0" xfId="0" applyFont="1" applyAlignment="1">
      <alignment horizontal="left"/>
    </xf>
    <xf numFmtId="0" fontId="0" fillId="0" borderId="0" xfId="0" applyAlignment="1">
      <alignment horizontal="center"/>
    </xf>
    <xf numFmtId="0" fontId="3" fillId="2" borderId="0" xfId="0" applyFont="1" applyFill="1"/>
    <xf numFmtId="0" fontId="0" fillId="2" borderId="0" xfId="0" applyFill="1"/>
    <xf numFmtId="0" fontId="1" fillId="2" borderId="0" xfId="0" applyFont="1" applyFill="1"/>
    <xf numFmtId="0" fontId="0" fillId="2" borderId="0" xfId="0" applyFill="1" applyAlignment="1">
      <alignment horizontal="center"/>
    </xf>
    <xf numFmtId="0" fontId="4" fillId="2" borderId="0" xfId="0" applyFont="1" applyFill="1"/>
    <xf numFmtId="0" fontId="4" fillId="2" borderId="0" xfId="0" applyFont="1" applyFill="1" applyAlignment="1">
      <alignment horizontal="center"/>
    </xf>
    <xf numFmtId="0" fontId="0" fillId="2" borderId="0" xfId="0" applyFill="1" applyProtection="1">
      <protection locked="0"/>
    </xf>
    <xf numFmtId="0" fontId="0" fillId="3" borderId="1" xfId="0" applyFill="1" applyBorder="1" applyAlignment="1" applyProtection="1">
      <alignment horizontal="center"/>
      <protection locked="0"/>
    </xf>
    <xf numFmtId="0" fontId="5" fillId="0" borderId="0" xfId="0" applyFont="1"/>
    <xf numFmtId="0" fontId="1" fillId="0" borderId="0" xfId="0" applyFont="1"/>
    <xf numFmtId="0" fontId="1" fillId="0" borderId="0" xfId="0" applyFont="1" applyAlignment="1">
      <alignment horizontal="center"/>
    </xf>
    <xf numFmtId="14" fontId="0" fillId="3" borderId="1" xfId="0" applyNumberFormat="1" applyFill="1" applyBorder="1" applyAlignment="1" applyProtection="1">
      <alignment horizontal="center"/>
      <protection locked="0"/>
    </xf>
    <xf numFmtId="0" fontId="0" fillId="0" borderId="0" xfId="0" applyAlignment="1">
      <alignment wrapText="1"/>
    </xf>
    <xf numFmtId="2" fontId="0" fillId="0" borderId="0" xfId="0" applyNumberFormat="1" applyAlignment="1">
      <alignment horizontal="center"/>
    </xf>
    <xf numFmtId="2" fontId="1" fillId="0" borderId="0" xfId="0" applyNumberFormat="1" applyFont="1" applyAlignment="1">
      <alignment horizontal="center"/>
    </xf>
    <xf numFmtId="2" fontId="0" fillId="0" borderId="0" xfId="0" applyNumberFormat="1"/>
    <xf numFmtId="0" fontId="0" fillId="0" borderId="0" xfId="0" applyAlignment="1">
      <alignment horizontal="left"/>
    </xf>
    <xf numFmtId="14" fontId="0" fillId="0" borderId="0" xfId="0" applyNumberFormat="1" applyAlignment="1">
      <alignment horizontal="center"/>
    </xf>
    <xf numFmtId="14" fontId="0" fillId="0" borderId="0" xfId="0" applyNumberFormat="1"/>
    <xf numFmtId="1" fontId="0" fillId="0" borderId="0" xfId="0" applyNumberFormat="1" applyAlignment="1">
      <alignment horizontal="center"/>
    </xf>
    <xf numFmtId="1" fontId="1"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635DE-5553-4883-83C8-63F4C325FF48}">
  <dimension ref="A1:Q30"/>
  <sheetViews>
    <sheetView tabSelected="1" workbookViewId="0">
      <selection activeCell="D8" sqref="D8"/>
    </sheetView>
  </sheetViews>
  <sheetFormatPr defaultRowHeight="14.5" x14ac:dyDescent="0.35"/>
  <cols>
    <col min="1" max="1" width="24.7265625" customWidth="1"/>
    <col min="2" max="2" width="34.453125" customWidth="1"/>
    <col min="3" max="3" width="6.26953125" customWidth="1"/>
    <col min="4" max="4" width="62.81640625" customWidth="1"/>
    <col min="5" max="5" width="10.54296875" customWidth="1"/>
    <col min="7" max="7" width="17.453125" customWidth="1"/>
    <col min="8" max="8" width="20.54296875" customWidth="1"/>
    <col min="9" max="9" width="21.7265625" style="3" customWidth="1"/>
    <col min="10" max="10" width="10.54296875" style="3" customWidth="1"/>
    <col min="12" max="12" width="14.7265625" customWidth="1"/>
  </cols>
  <sheetData>
    <row r="1" spans="1:17" ht="17" x14ac:dyDescent="0.4">
      <c r="A1" s="1" t="s">
        <v>0</v>
      </c>
      <c r="B1" s="2" t="s">
        <v>57</v>
      </c>
    </row>
    <row r="2" spans="1:17" ht="12.75" customHeight="1" x14ac:dyDescent="0.35">
      <c r="I2"/>
      <c r="J2"/>
    </row>
    <row r="3" spans="1:17" x14ac:dyDescent="0.35">
      <c r="A3" s="4" t="s">
        <v>1</v>
      </c>
      <c r="B3" s="5"/>
      <c r="F3" s="6"/>
      <c r="G3" s="5"/>
      <c r="H3" s="5"/>
      <c r="I3" s="5"/>
      <c r="J3" s="5"/>
      <c r="K3" s="5"/>
      <c r="L3" s="5"/>
      <c r="M3" s="5"/>
      <c r="N3" s="5"/>
      <c r="O3" s="5"/>
      <c r="P3" s="5"/>
      <c r="Q3" s="5"/>
    </row>
    <row r="4" spans="1:17" x14ac:dyDescent="0.35">
      <c r="A4" s="5"/>
      <c r="B4" s="7"/>
    </row>
    <row r="5" spans="1:17" x14ac:dyDescent="0.35">
      <c r="A5" s="5" t="s">
        <v>2</v>
      </c>
      <c r="B5" s="7"/>
      <c r="F5" s="5"/>
      <c r="G5" s="5"/>
      <c r="H5" s="5"/>
      <c r="I5" s="7"/>
    </row>
    <row r="6" spans="1:17" x14ac:dyDescent="0.35">
      <c r="A6" s="5"/>
      <c r="B6" s="7"/>
      <c r="F6" s="5"/>
      <c r="G6" s="8"/>
      <c r="H6" s="8"/>
      <c r="I6" s="9"/>
    </row>
    <row r="7" spans="1:17" x14ac:dyDescent="0.35">
      <c r="B7" s="3"/>
      <c r="F7" s="5"/>
      <c r="G7" s="10"/>
      <c r="H7" s="10"/>
      <c r="I7" s="5"/>
    </row>
    <row r="8" spans="1:17" x14ac:dyDescent="0.35">
      <c r="A8" t="s">
        <v>3</v>
      </c>
      <c r="B8" s="11"/>
      <c r="D8" t="s">
        <v>5</v>
      </c>
      <c r="F8" s="5"/>
      <c r="G8" s="10"/>
      <c r="H8" s="10"/>
      <c r="I8" s="5"/>
    </row>
    <row r="9" spans="1:17" x14ac:dyDescent="0.35">
      <c r="A9" t="s">
        <v>6</v>
      </c>
      <c r="B9" s="11"/>
      <c r="F9" s="5"/>
      <c r="G9" s="10"/>
      <c r="H9" s="10"/>
      <c r="I9" s="5"/>
    </row>
    <row r="10" spans="1:17" x14ac:dyDescent="0.35">
      <c r="B10" s="3"/>
      <c r="F10" s="5"/>
      <c r="G10" s="10"/>
      <c r="H10" s="10"/>
      <c r="I10" s="5"/>
    </row>
    <row r="11" spans="1:17" ht="17" x14ac:dyDescent="0.4">
      <c r="A11" s="1" t="s">
        <v>7</v>
      </c>
      <c r="B11" s="3"/>
      <c r="F11" s="5"/>
      <c r="G11" s="10"/>
      <c r="H11" s="10"/>
      <c r="I11" s="5"/>
    </row>
    <row r="12" spans="1:17" x14ac:dyDescent="0.35">
      <c r="B12" s="3"/>
      <c r="F12" s="5"/>
      <c r="G12" s="10"/>
      <c r="H12" s="10"/>
      <c r="I12" s="5"/>
    </row>
    <row r="13" spans="1:17" x14ac:dyDescent="0.35">
      <c r="A13" t="s">
        <v>8</v>
      </c>
      <c r="B13" s="11"/>
      <c r="D13" t="s">
        <v>9</v>
      </c>
      <c r="F13" s="5"/>
      <c r="G13" s="10"/>
      <c r="H13" s="10"/>
      <c r="I13" s="5"/>
    </row>
    <row r="14" spans="1:17" x14ac:dyDescent="0.35">
      <c r="A14" t="s">
        <v>10</v>
      </c>
      <c r="B14" s="11"/>
      <c r="D14" s="12" t="s">
        <v>11</v>
      </c>
      <c r="F14" s="5"/>
      <c r="G14" s="10"/>
      <c r="H14" s="10"/>
      <c r="I14" s="5"/>
    </row>
    <row r="15" spans="1:17" x14ac:dyDescent="0.35">
      <c r="A15" t="s">
        <v>12</v>
      </c>
      <c r="B15" s="11"/>
      <c r="D15" s="12" t="s">
        <v>13</v>
      </c>
      <c r="F15" s="5"/>
      <c r="G15" s="10"/>
      <c r="H15" s="10"/>
      <c r="I15" s="5"/>
    </row>
    <row r="16" spans="1:17" x14ac:dyDescent="0.35">
      <c r="A16" t="s">
        <v>14</v>
      </c>
      <c r="B16" s="11"/>
      <c r="D16" s="12" t="s">
        <v>15</v>
      </c>
      <c r="F16" s="5"/>
      <c r="G16" s="10"/>
      <c r="H16" s="10"/>
      <c r="I16" s="5"/>
    </row>
    <row r="17" spans="1:9" x14ac:dyDescent="0.35">
      <c r="A17" t="s">
        <v>16</v>
      </c>
      <c r="B17" s="11"/>
      <c r="F17" s="5"/>
      <c r="G17" s="10"/>
      <c r="H17" s="10"/>
      <c r="I17" s="5"/>
    </row>
    <row r="18" spans="1:9" x14ac:dyDescent="0.35">
      <c r="A18" s="13" t="s">
        <v>17</v>
      </c>
      <c r="B18" s="14">
        <f>SUM(B13:B17)</f>
        <v>0</v>
      </c>
      <c r="F18" s="5"/>
      <c r="G18" s="10"/>
      <c r="H18" s="10"/>
      <c r="I18" s="5"/>
    </row>
    <row r="19" spans="1:9" x14ac:dyDescent="0.35">
      <c r="B19" s="3"/>
      <c r="F19" s="5"/>
      <c r="G19" s="10"/>
      <c r="H19" s="10"/>
      <c r="I19" s="5"/>
    </row>
    <row r="20" spans="1:9" x14ac:dyDescent="0.35">
      <c r="A20" t="s">
        <v>18</v>
      </c>
      <c r="B20" s="15"/>
      <c r="D20" t="s">
        <v>19</v>
      </c>
      <c r="F20" s="5"/>
      <c r="G20" s="10"/>
      <c r="H20" s="10"/>
      <c r="I20" s="5"/>
    </row>
    <row r="21" spans="1:9" x14ac:dyDescent="0.35">
      <c r="A21" t="s">
        <v>20</v>
      </c>
      <c r="B21" s="15"/>
      <c r="D21" t="s">
        <v>21</v>
      </c>
      <c r="F21" s="5"/>
      <c r="G21" s="10"/>
      <c r="H21" s="10"/>
      <c r="I21" s="5"/>
    </row>
    <row r="22" spans="1:9" x14ac:dyDescent="0.35">
      <c r="A22" s="13" t="s">
        <v>22</v>
      </c>
      <c r="B22" s="24">
        <f>Sheet2!C20</f>
        <v>1</v>
      </c>
      <c r="F22" s="5"/>
      <c r="G22" s="5"/>
      <c r="H22" s="5"/>
      <c r="I22" s="5"/>
    </row>
    <row r="23" spans="1:9" x14ac:dyDescent="0.35">
      <c r="B23" s="3"/>
    </row>
    <row r="24" spans="1:9" ht="17" x14ac:dyDescent="0.4">
      <c r="A24" s="1" t="s">
        <v>23</v>
      </c>
      <c r="B24" s="3"/>
    </row>
    <row r="25" spans="1:9" ht="29" x14ac:dyDescent="0.35">
      <c r="A25" s="16" t="s">
        <v>24</v>
      </c>
      <c r="B25" s="3" t="e">
        <f>VLOOKUP(B8,Sheet2!B1:H8,7,FALSE)</f>
        <v>#N/A</v>
      </c>
    </row>
    <row r="26" spans="1:9" ht="43.5" x14ac:dyDescent="0.35">
      <c r="A26" t="s">
        <v>25</v>
      </c>
      <c r="B26" s="17" t="e">
        <f>CEILING(IF(B8="Faculty (teaching and library)",Sheet2!E26*Sheet2!C26*3,(VLOOKUP(B8,Sheet2!B:H,7,FALSE)/365*Sheet2!C20)/Sheet2!C23*Sheet1!B18),0.5)</f>
        <v>#N/A</v>
      </c>
      <c r="D26" s="16" t="s">
        <v>26</v>
      </c>
    </row>
    <row r="27" spans="1:9" ht="29" x14ac:dyDescent="0.35">
      <c r="A27" t="str">
        <f>IF(B8="Faculty (teaching and library)","MSD Taken","MSD/BH Taken")</f>
        <v>MSD/BH Taken</v>
      </c>
      <c r="B27" s="17">
        <f>Sheet2!N21</f>
        <v>0</v>
      </c>
      <c r="D27" s="16" t="s">
        <v>27</v>
      </c>
    </row>
    <row r="28" spans="1:9" ht="29" x14ac:dyDescent="0.35">
      <c r="A28" s="13" t="s">
        <v>28</v>
      </c>
      <c r="B28" s="18" t="e">
        <f>B26-B27</f>
        <v>#N/A</v>
      </c>
      <c r="D28" s="16" t="s">
        <v>29</v>
      </c>
    </row>
    <row r="29" spans="1:9" x14ac:dyDescent="0.35">
      <c r="B29" s="19"/>
    </row>
    <row r="30" spans="1:9" x14ac:dyDescent="0.35">
      <c r="B30" s="19"/>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9437CCC0-B0D6-49AF-B2B7-A32928D23120}">
          <x14:formula1>
            <xm:f>Sheet2!$B$2:$B$8</xm:f>
          </x14:formula1>
          <xm:sqref>B8</xm:sqref>
        </x14:dataValidation>
        <x14:dataValidation type="list" allowBlank="1" showInputMessage="1" showErrorMessage="1" xr:uid="{89D14358-6985-4520-84D4-F4382E2D6702}">
          <x14:formula1>
            <xm:f>Sheet2!$C$15:$C$16</xm:f>
          </x14:formula1>
          <xm:sqref>B9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21BA1-BE1A-4CD9-A2D0-28B39FF868E8}">
  <dimension ref="A1:O26"/>
  <sheetViews>
    <sheetView workbookViewId="0">
      <selection activeCell="H25" sqref="H25"/>
    </sheetView>
  </sheetViews>
  <sheetFormatPr defaultRowHeight="14.5" x14ac:dyDescent="0.35"/>
  <cols>
    <col min="2" max="2" width="36.26953125" bestFit="1" customWidth="1"/>
    <col min="3" max="3" width="17" style="3" customWidth="1"/>
    <col min="4" max="7" width="11.1796875" style="3" customWidth="1"/>
    <col min="8" max="8" width="8.7265625" style="3"/>
    <col min="11" max="11" width="20.26953125" customWidth="1"/>
    <col min="12" max="12" width="14.7265625" customWidth="1"/>
    <col min="13" max="13" width="10.81640625" customWidth="1"/>
    <col min="14" max="14" width="8" customWidth="1"/>
    <col min="15" max="15" width="13.7265625" customWidth="1"/>
  </cols>
  <sheetData>
    <row r="1" spans="1:15" x14ac:dyDescent="0.35">
      <c r="B1" t="s">
        <v>30</v>
      </c>
      <c r="C1" s="3" t="s">
        <v>31</v>
      </c>
      <c r="D1" s="3" t="s">
        <v>32</v>
      </c>
      <c r="E1" s="3" t="s">
        <v>33</v>
      </c>
      <c r="F1" s="3" t="s">
        <v>34</v>
      </c>
      <c r="G1" s="3" t="s">
        <v>35</v>
      </c>
      <c r="H1" s="3" t="s">
        <v>17</v>
      </c>
      <c r="K1" t="s">
        <v>36</v>
      </c>
      <c r="L1" s="3"/>
      <c r="M1" s="3"/>
    </row>
    <row r="2" spans="1:15" x14ac:dyDescent="0.35">
      <c r="A2">
        <v>7.5</v>
      </c>
      <c r="B2" t="s">
        <v>37</v>
      </c>
      <c r="C2" s="3">
        <f>7.5*24</f>
        <v>180</v>
      </c>
      <c r="D2" s="3">
        <f>7.5*6</f>
        <v>45</v>
      </c>
      <c r="E2" s="3">
        <v>60</v>
      </c>
      <c r="H2" s="3">
        <f t="shared" ref="H2:H8" si="0">SUM(C2:G2)</f>
        <v>285</v>
      </c>
      <c r="L2" s="3"/>
      <c r="M2" s="3"/>
    </row>
    <row r="3" spans="1:15" x14ac:dyDescent="0.35">
      <c r="A3">
        <v>8</v>
      </c>
      <c r="B3" t="s">
        <v>38</v>
      </c>
      <c r="C3" s="3">
        <f>24*8</f>
        <v>192</v>
      </c>
      <c r="D3" s="3">
        <f>8*6</f>
        <v>48</v>
      </c>
      <c r="E3" s="3">
        <f>8*8</f>
        <v>64</v>
      </c>
      <c r="H3" s="3">
        <f t="shared" si="0"/>
        <v>304</v>
      </c>
      <c r="L3" s="3"/>
      <c r="M3" s="3"/>
    </row>
    <row r="4" spans="1:15" x14ac:dyDescent="0.35">
      <c r="A4">
        <v>8</v>
      </c>
      <c r="B4" t="s">
        <v>39</v>
      </c>
      <c r="C4" s="3">
        <f>26*8</f>
        <v>208</v>
      </c>
      <c r="D4" s="3">
        <f>8*6</f>
        <v>48</v>
      </c>
      <c r="E4" s="3">
        <f>8*8</f>
        <v>64</v>
      </c>
      <c r="H4" s="3">
        <f t="shared" si="0"/>
        <v>320</v>
      </c>
      <c r="L4" s="3"/>
      <c r="M4" s="3"/>
    </row>
    <row r="5" spans="1:15" x14ac:dyDescent="0.35">
      <c r="A5">
        <v>7.3</v>
      </c>
      <c r="B5" t="s">
        <v>4</v>
      </c>
      <c r="C5" s="3">
        <f>7.3*20</f>
        <v>146</v>
      </c>
      <c r="D5" s="3">
        <f>7.3*6</f>
        <v>43.8</v>
      </c>
      <c r="E5" s="3">
        <f>7.3*8</f>
        <v>58.4</v>
      </c>
      <c r="H5" s="3">
        <f t="shared" si="0"/>
        <v>248.20000000000002</v>
      </c>
      <c r="L5" s="3"/>
      <c r="M5" s="3"/>
    </row>
    <row r="6" spans="1:15" x14ac:dyDescent="0.35">
      <c r="A6">
        <v>7.3</v>
      </c>
      <c r="B6" t="s">
        <v>40</v>
      </c>
      <c r="C6" s="3">
        <f>7.3*21</f>
        <v>153.29999999999998</v>
      </c>
      <c r="D6" s="3">
        <f>7.3*6</f>
        <v>43.8</v>
      </c>
      <c r="E6" s="3">
        <f>7.3*8</f>
        <v>58.4</v>
      </c>
      <c r="H6" s="3">
        <f t="shared" si="0"/>
        <v>255.49999999999997</v>
      </c>
      <c r="K6" s="20" t="s">
        <v>41</v>
      </c>
      <c r="L6" s="21">
        <v>46380</v>
      </c>
      <c r="M6" s="3" t="s">
        <v>42</v>
      </c>
      <c r="N6">
        <f>IF(AND(Sheet1!$A$27="MSD Taken",M6="BH"),0,(IF(AND(L6&gt;=Sheet1!$B$20,L6&lt;=Sheet1!$B$21),VLOOKUP(O6,Sheet1!$A$13:$B$17,2,FALSE),0)))</f>
        <v>0</v>
      </c>
      <c r="O6" t="s">
        <v>14</v>
      </c>
    </row>
    <row r="7" spans="1:15" x14ac:dyDescent="0.35">
      <c r="A7">
        <v>7.3</v>
      </c>
      <c r="B7" t="s">
        <v>43</v>
      </c>
      <c r="C7" s="3">
        <f>7.3*22</f>
        <v>160.6</v>
      </c>
      <c r="D7" s="3">
        <f>7.3*6</f>
        <v>43.8</v>
      </c>
      <c r="E7" s="3">
        <f>7.3*8</f>
        <v>58.4</v>
      </c>
      <c r="H7" s="3">
        <f t="shared" si="0"/>
        <v>262.79999999999995</v>
      </c>
      <c r="K7" s="20" t="s">
        <v>41</v>
      </c>
      <c r="L7" s="21">
        <v>46381</v>
      </c>
      <c r="M7" s="3" t="s">
        <v>44</v>
      </c>
      <c r="N7">
        <f>IF(AND(Sheet1!$A$27="MSD Taken",M7="BH"),0,(IF(AND(L7&gt;=Sheet1!$B$20,L7&lt;=Sheet1!$B$21),VLOOKUP(O7,Sheet1!$A$13:$B$17,2,FALSE),0)))</f>
        <v>0</v>
      </c>
      <c r="O7" t="s">
        <v>16</v>
      </c>
    </row>
    <row r="8" spans="1:15" x14ac:dyDescent="0.35">
      <c r="A8">
        <v>7.3</v>
      </c>
      <c r="B8" t="s">
        <v>45</v>
      </c>
      <c r="C8" s="3">
        <f>7.3*23</f>
        <v>167.9</v>
      </c>
      <c r="D8" s="3">
        <f>7.3*6</f>
        <v>43.8</v>
      </c>
      <c r="E8" s="3">
        <f>7.3*8</f>
        <v>58.4</v>
      </c>
      <c r="H8" s="3">
        <f t="shared" si="0"/>
        <v>270.09999999999997</v>
      </c>
      <c r="K8" s="20" t="s">
        <v>41</v>
      </c>
      <c r="L8" s="21">
        <v>46384</v>
      </c>
      <c r="M8" s="3" t="s">
        <v>44</v>
      </c>
      <c r="N8">
        <f>IF(AND(Sheet1!$A$27="MSD Taken",M8="BH"),0,(IF(AND(L8&gt;=Sheet1!$B$20,L8&lt;=Sheet1!$B$21),VLOOKUP(O8,Sheet1!$A$13:$B$17,2,FALSE),0)))</f>
        <v>0</v>
      </c>
      <c r="O8" t="s">
        <v>8</v>
      </c>
    </row>
    <row r="9" spans="1:15" x14ac:dyDescent="0.35">
      <c r="K9" s="20" t="s">
        <v>41</v>
      </c>
      <c r="L9" s="21">
        <v>46385</v>
      </c>
      <c r="M9" s="3" t="s">
        <v>42</v>
      </c>
      <c r="N9">
        <f>IF(AND(Sheet1!$A$27="MSD Taken",M9="BH"),0,(IF(AND(L9&gt;=Sheet1!$B$20,L9&lt;=Sheet1!$B$21),VLOOKUP(O9,Sheet1!$A$13:$B$17,2,FALSE),0)))</f>
        <v>0</v>
      </c>
      <c r="O9" t="s">
        <v>10</v>
      </c>
    </row>
    <row r="10" spans="1:15" x14ac:dyDescent="0.35">
      <c r="K10" s="20" t="s">
        <v>41</v>
      </c>
      <c r="L10" s="21">
        <v>46386</v>
      </c>
      <c r="M10" s="3" t="s">
        <v>42</v>
      </c>
      <c r="N10">
        <f>IF(AND(Sheet1!$A$27="MSD Taken",M10="BH"),0,(IF(AND(L10&gt;=Sheet1!$B$20,L10&lt;=Sheet1!$B$21),VLOOKUP(O10,Sheet1!$A$13:$B$17,2,FALSE),0)))</f>
        <v>0</v>
      </c>
      <c r="O10" t="s">
        <v>12</v>
      </c>
    </row>
    <row r="11" spans="1:15" x14ac:dyDescent="0.35">
      <c r="K11" s="20" t="s">
        <v>41</v>
      </c>
      <c r="L11" s="21">
        <v>46387</v>
      </c>
      <c r="M11" s="3" t="s">
        <v>42</v>
      </c>
      <c r="N11">
        <f>IF(AND(Sheet1!$A$27="MSD Taken",M11="BH"),0,(IF(AND(L11&gt;=Sheet1!$B$20,L11&lt;=Sheet1!$B$21),VLOOKUP(O11,Sheet1!$A$13:$B$17,2,FALSE),0)))</f>
        <v>0</v>
      </c>
      <c r="O11" t="s">
        <v>14</v>
      </c>
    </row>
    <row r="12" spans="1:15" x14ac:dyDescent="0.35">
      <c r="K12" s="20" t="s">
        <v>41</v>
      </c>
      <c r="L12" s="21">
        <v>46388</v>
      </c>
      <c r="M12" s="3" t="s">
        <v>44</v>
      </c>
      <c r="N12">
        <f>IF(AND(Sheet1!$A$27="MSD Taken",M12="BH"),0,(IF(AND(L12&gt;=Sheet1!$B$20,L12&lt;=Sheet1!$B$21),VLOOKUP(O12,Sheet1!$A$13:$B$17,2,FALSE),0)))</f>
        <v>0</v>
      </c>
      <c r="O12" t="s">
        <v>16</v>
      </c>
    </row>
    <row r="13" spans="1:15" x14ac:dyDescent="0.35">
      <c r="K13" s="20" t="s">
        <v>46</v>
      </c>
      <c r="L13" s="21">
        <v>46471</v>
      </c>
      <c r="M13" s="3" t="s">
        <v>42</v>
      </c>
      <c r="N13">
        <f>IF(AND(Sheet1!$A$27="MSD Taken",M13="BH"),0,(IF(AND(L13&gt;=Sheet1!$B$20,L13&lt;=Sheet1!$B$21),VLOOKUP(O13,Sheet1!$A$13:$B$17,2,FALSE),0)))</f>
        <v>0</v>
      </c>
      <c r="O13" t="str">
        <f t="shared" ref="O6:O17" si="1">TEXT(L13,"dddd")</f>
        <v>Thursday</v>
      </c>
    </row>
    <row r="14" spans="1:15" x14ac:dyDescent="0.35">
      <c r="C14" s="13" t="s">
        <v>47</v>
      </c>
      <c r="K14" s="20" t="s">
        <v>46</v>
      </c>
      <c r="L14" s="21">
        <v>46472</v>
      </c>
      <c r="M14" s="3" t="s">
        <v>44</v>
      </c>
      <c r="N14">
        <f>IF(AND(Sheet1!$A$27="MSD Taken",M14="BH"),0,(IF(AND(L14&gt;=Sheet1!$B$20,L14&lt;=Sheet1!$B$21),VLOOKUP(O14,Sheet1!$A$13:$B$17,2,FALSE),0)))</f>
        <v>0</v>
      </c>
      <c r="O14" t="str">
        <f t="shared" si="1"/>
        <v>Friday</v>
      </c>
    </row>
    <row r="15" spans="1:15" x14ac:dyDescent="0.35">
      <c r="C15" t="s">
        <v>48</v>
      </c>
      <c r="K15" s="20" t="s">
        <v>46</v>
      </c>
      <c r="L15" s="21">
        <v>46475</v>
      </c>
      <c r="M15" s="3" t="s">
        <v>44</v>
      </c>
      <c r="N15">
        <f>IF(AND(Sheet1!$A$27="MSD Taken",M15="BH"),0,(IF(AND(L15&gt;=Sheet1!$B$20,L15&lt;=Sheet1!$B$21),VLOOKUP(O15,Sheet1!$A$13:$B$17,2,FALSE),0)))</f>
        <v>0</v>
      </c>
      <c r="O15" t="str">
        <f t="shared" si="1"/>
        <v>Monday</v>
      </c>
    </row>
    <row r="16" spans="1:15" x14ac:dyDescent="0.35">
      <c r="C16" t="s">
        <v>49</v>
      </c>
      <c r="K16" s="20" t="s">
        <v>46</v>
      </c>
      <c r="L16" s="21">
        <v>46476</v>
      </c>
      <c r="M16" s="3" t="s">
        <v>42</v>
      </c>
      <c r="N16">
        <f>IF(AND(Sheet1!$A$27="MSD Taken",M16="BH"),0,(IF(AND(L16&gt;=Sheet1!$B$20,L16&lt;=Sheet1!$B$21),VLOOKUP(O16,Sheet1!$A$13:$B$17,2,FALSE),0)))</f>
        <v>0</v>
      </c>
      <c r="O16" t="str">
        <f t="shared" si="1"/>
        <v>Tuesday</v>
      </c>
    </row>
    <row r="17" spans="3:15" x14ac:dyDescent="0.35">
      <c r="C17"/>
      <c r="K17" s="20" t="s">
        <v>50</v>
      </c>
      <c r="L17" s="21">
        <v>46510</v>
      </c>
      <c r="M17" s="3" t="s">
        <v>44</v>
      </c>
      <c r="N17">
        <f>IF(AND(Sheet1!$A$27="MSD Taken",M17="BH"),0,(IF(AND(L17&gt;=Sheet1!$B$20,L17&lt;=Sheet1!$B$21),VLOOKUP(O17,Sheet1!$A$13:$B$17,2,FALSE),0)))</f>
        <v>0</v>
      </c>
      <c r="O17" t="str">
        <f t="shared" si="1"/>
        <v>Monday</v>
      </c>
    </row>
    <row r="18" spans="3:15" x14ac:dyDescent="0.35">
      <c r="K18" s="20"/>
      <c r="L18" s="22"/>
      <c r="M18" s="3"/>
    </row>
    <row r="19" spans="3:15" x14ac:dyDescent="0.35">
      <c r="C19" s="3" t="s">
        <v>51</v>
      </c>
      <c r="K19" s="20" t="s">
        <v>50</v>
      </c>
      <c r="L19" s="21">
        <v>46538</v>
      </c>
      <c r="M19" s="3" t="s">
        <v>44</v>
      </c>
      <c r="N19">
        <f>IF(AND(Sheet1!$A$27="MSD Taken",M19="BH"),0,(IF(AND(L19&gt;=Sheet1!$B$20,L19&lt;=Sheet1!$B$21),VLOOKUP(O19,Sheet1!$A$13:$B$17,2,FALSE),0)))</f>
        <v>0</v>
      </c>
      <c r="O19" t="str">
        <f>TEXT(L19,"dddd")</f>
        <v>Monday</v>
      </c>
    </row>
    <row r="20" spans="3:15" x14ac:dyDescent="0.35">
      <c r="C20" s="23">
        <f>Sheet1!B21-Sheet1!B20+1</f>
        <v>1</v>
      </c>
      <c r="K20" s="20" t="s">
        <v>52</v>
      </c>
      <c r="L20" s="21">
        <v>46629</v>
      </c>
      <c r="M20" s="3" t="s">
        <v>44</v>
      </c>
      <c r="N20">
        <f>IF(AND(Sheet1!$A$27="MSD Taken",M20="BH"),0,(IF(AND(L20&gt;=Sheet1!$B$20,L20&lt;=Sheet1!$B$21),VLOOKUP(O20,Sheet1!$A$13:$B$17,2,FALSE),0)))</f>
        <v>0</v>
      </c>
      <c r="O20" t="str">
        <f>TEXT(L20,"dddd")</f>
        <v>Monday</v>
      </c>
    </row>
    <row r="21" spans="3:15" x14ac:dyDescent="0.35">
      <c r="L21" s="3"/>
      <c r="M21" s="14" t="s">
        <v>17</v>
      </c>
      <c r="N21" s="13">
        <f>SUM(N6:N20)</f>
        <v>0</v>
      </c>
    </row>
    <row r="22" spans="3:15" x14ac:dyDescent="0.35">
      <c r="C22" s="3" t="s">
        <v>53</v>
      </c>
    </row>
    <row r="23" spans="3:15" x14ac:dyDescent="0.35">
      <c r="C23" s="3" t="e">
        <f>(_xlfn.XLOOKUP(Sheet1!B8,B2:B8,A2:A8)*5)</f>
        <v>#N/A</v>
      </c>
    </row>
    <row r="25" spans="3:15" x14ac:dyDescent="0.35">
      <c r="C25" s="3" t="s">
        <v>54</v>
      </c>
      <c r="D25" s="3" t="s">
        <v>55</v>
      </c>
      <c r="E25" s="3" t="s">
        <v>56</v>
      </c>
    </row>
    <row r="26" spans="3:15" x14ac:dyDescent="0.35">
      <c r="C26" s="3">
        <f>MONTH(Sheet1!B21-Sheet1!B20)</f>
        <v>1</v>
      </c>
      <c r="D26" s="3">
        <f>COUNTIF(Sheet1!B13:B17,"&gt;0")</f>
        <v>0</v>
      </c>
      <c r="E26" s="3" t="e">
        <f>Sheet1!B18/Sheet2!D26</f>
        <v>#DIV/0!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85FA917F6A9B4BB20A9A69709B18BC" ma:contentTypeVersion="15" ma:contentTypeDescription="Create a new document." ma:contentTypeScope="" ma:versionID="2f07e26fc99ea0f7b99e89913e4bbfb2">
  <xsd:schema xmlns:xsd="http://www.w3.org/2001/XMLSchema" xmlns:xs="http://www.w3.org/2001/XMLSchema" xmlns:p="http://schemas.microsoft.com/office/2006/metadata/properties" xmlns:ns2="a15fed14-48f0-4d56-b8c0-e6d83c4cc237" xmlns:ns3="e64e9dc8-c4ed-45b4-be82-ee44bda42278" targetNamespace="http://schemas.microsoft.com/office/2006/metadata/properties" ma:root="true" ma:fieldsID="b9dd815dc1311a0f4c45102f5f9c2f23" ns2:_="" ns3:_="">
    <xsd:import namespace="a15fed14-48f0-4d56-b8c0-e6d83c4cc237"/>
    <xsd:import namespace="e64e9dc8-c4ed-45b4-be82-ee44bda422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5fed14-48f0-4d56-b8c0-e6d83c4cc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3b6bf3c9-4c8d-4044-b3cb-61f678f1884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4e9dc8-c4ed-45b4-be82-ee44bda4227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0111300-2b4e-4ebe-8fb6-162a7162a595}" ma:internalName="TaxCatchAll" ma:showField="CatchAllData" ma:web="e64e9dc8-c4ed-45b4-be82-ee44bda4227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15fed14-48f0-4d56-b8c0-e6d83c4cc237">
      <Terms xmlns="http://schemas.microsoft.com/office/infopath/2007/PartnerControls"/>
    </lcf76f155ced4ddcb4097134ff3c332f>
    <TaxCatchAll xmlns="e64e9dc8-c4ed-45b4-be82-ee44bda42278" xsi:nil="true"/>
  </documentManagement>
</p:properties>
</file>

<file path=customXml/itemProps1.xml><?xml version="1.0" encoding="utf-8"?>
<ds:datastoreItem xmlns:ds="http://schemas.openxmlformats.org/officeDocument/2006/customXml" ds:itemID="{80E2C55A-B285-4D37-AD28-2242B44EDDFF}"/>
</file>

<file path=customXml/itemProps2.xml><?xml version="1.0" encoding="utf-8"?>
<ds:datastoreItem xmlns:ds="http://schemas.openxmlformats.org/officeDocument/2006/customXml" ds:itemID="{083E9CF1-00E0-4AA4-A67E-76896E422DA6}">
  <ds:schemaRefs>
    <ds:schemaRef ds:uri="http://schemas.microsoft.com/sharepoint/v3/contenttype/forms"/>
  </ds:schemaRefs>
</ds:datastoreItem>
</file>

<file path=customXml/itemProps3.xml><?xml version="1.0" encoding="utf-8"?>
<ds:datastoreItem xmlns:ds="http://schemas.openxmlformats.org/officeDocument/2006/customXml" ds:itemID="{316AB4E0-CB6C-4DA4-B40C-B5BE34ACA1B5}">
  <ds:schemaRefs>
    <ds:schemaRef ds:uri="http://schemas.microsoft.com/office/2006/metadata/properties"/>
    <ds:schemaRef ds:uri="http://schemas.microsoft.com/office/infopath/2007/PartnerControls"/>
    <ds:schemaRef ds:uri="a15fed14-48f0-4d56-b8c0-e6d83c4cc237"/>
    <ds:schemaRef ds:uri="e64e9dc8-c4ed-45b4-be82-ee44bda4227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Simone Amis</dc:creator>
  <cp:keywords/>
  <dc:description/>
  <cp:lastModifiedBy>Simone Amis</cp:lastModifiedBy>
  <cp:revision/>
  <dcterms:created xsi:type="dcterms:W3CDTF">2023-08-24T14:31:24Z</dcterms:created>
  <dcterms:modified xsi:type="dcterms:W3CDTF">2026-10-29T18:14:42Z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0x010100CC85FA917F6A9B4BB20A9A69709B18BC</vt:lpwstr>
  </property>
  <property fmtid="{D5CDD505-2E9C-101B-9397-08002B2CF9AE}" pid="3" name="MediaServiceImageTags">
    <vt:lpwstr/>
  </property>
</Properties>
</file>