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70" activeTab="0"/>
  </bookViews>
  <sheets>
    <sheet name="HOW TO USE THIS SPREADSHEET" sheetId="1" r:id="rId1"/>
    <sheet name="Scheme Parameters" sheetId="2" r:id="rId2"/>
    <sheet name="Cash Scheme" sheetId="3" r:id="rId3"/>
  </sheets>
  <definedNames>
    <definedName name="_xlfn._FV" hidden="1">#NAME?</definedName>
  </definedNames>
  <calcPr fullCalcOnLoad="1"/>
</workbook>
</file>

<file path=xl/comments2.xml><?xml version="1.0" encoding="utf-8"?>
<comments xmlns="http://schemas.openxmlformats.org/spreadsheetml/2006/main">
  <authors>
    <author>Anthony Coker</author>
    <author>Kirsty Perry</author>
  </authors>
  <commentList>
    <comment ref="I12" authorId="0">
      <text>
        <r>
          <rPr>
            <b/>
            <sz val="8"/>
            <rFont val="Tahoma"/>
            <family val="2"/>
          </rPr>
          <t>Anthony Coker:</t>
        </r>
        <r>
          <rPr>
            <sz val="8"/>
            <rFont val="Tahoma"/>
            <family val="2"/>
          </rPr>
          <t xml:space="preserve">
</t>
        </r>
      </text>
    </comment>
    <comment ref="D9" authorId="1">
      <text>
        <r>
          <rPr>
            <b/>
            <sz val="9"/>
            <rFont val="Tahoma"/>
            <family val="0"/>
          </rPr>
          <t>Kirsty Perry:</t>
        </r>
        <r>
          <rPr>
            <sz val="9"/>
            <rFont val="Tahoma"/>
            <family val="0"/>
          </rPr>
          <t xml:space="preserve">
Add in the term length here:
TOTAL BIKE/EQUIPMENT COST
£1-£2000 = 12 or 18 months
£2001-£3000 = 12, 18 or 24 months</t>
        </r>
      </text>
    </comment>
    <comment ref="D11" authorId="1">
      <text>
        <r>
          <rPr>
            <b/>
            <sz val="9"/>
            <rFont val="Tahoma"/>
            <family val="0"/>
          </rPr>
          <t>Kirsty Perry:</t>
        </r>
        <r>
          <rPr>
            <sz val="9"/>
            <rFont val="Tahoma"/>
            <family val="0"/>
          </rPr>
          <t xml:space="preserve">
Enter bike cost here</t>
        </r>
      </text>
    </comment>
    <comment ref="D12" authorId="1">
      <text>
        <r>
          <rPr>
            <b/>
            <sz val="9"/>
            <rFont val="Tahoma"/>
            <family val="0"/>
          </rPr>
          <t>Kirsty Perry:</t>
        </r>
        <r>
          <rPr>
            <sz val="9"/>
            <rFont val="Tahoma"/>
            <family val="0"/>
          </rPr>
          <t xml:space="preserve">
Enter helmet or safety equipment cost here.
Once done click on 'Cash Scheme' tab</t>
        </r>
      </text>
    </comment>
  </commentList>
</comments>
</file>

<file path=xl/comments3.xml><?xml version="1.0" encoding="utf-8"?>
<comments xmlns="http://schemas.openxmlformats.org/spreadsheetml/2006/main">
  <authors>
    <author>Anthony Coker</author>
  </authors>
  <commentList>
    <comment ref="C22" authorId="0">
      <text>
        <r>
          <rPr>
            <b/>
            <sz val="8"/>
            <rFont val="Tahoma"/>
            <family val="2"/>
          </rPr>
          <t>Anthony Coker:</t>
        </r>
        <r>
          <rPr>
            <sz val="8"/>
            <rFont val="Tahoma"/>
            <family val="2"/>
          </rPr>
          <t xml:space="preserve">
</t>
        </r>
      </text>
    </comment>
  </commentList>
</comments>
</file>

<file path=xl/sharedStrings.xml><?xml version="1.0" encoding="utf-8"?>
<sst xmlns="http://schemas.openxmlformats.org/spreadsheetml/2006/main" count="76" uniqueCount="51">
  <si>
    <t>New RRP</t>
  </si>
  <si>
    <t>Monthly Salary Sacrifice</t>
  </si>
  <si>
    <t>Real reduction to salary</t>
  </si>
  <si>
    <t>Cost Over Scheme Term</t>
  </si>
  <si>
    <t>Total Saving</t>
  </si>
  <si>
    <t>Saving %</t>
  </si>
  <si>
    <t>VAT Reclaimed</t>
  </si>
  <si>
    <t>HIGHER</t>
  </si>
  <si>
    <t>VAT RATE</t>
  </si>
  <si>
    <t>VAT RECLAIMED</t>
  </si>
  <si>
    <t>EE LOWER TAX RATE</t>
  </si>
  <si>
    <t>ER HIGHER TAX RATE</t>
  </si>
  <si>
    <t>EE LOWER NI RATE</t>
  </si>
  <si>
    <t>EE HIGHER NI RATE</t>
  </si>
  <si>
    <t>DISCOUNT</t>
  </si>
  <si>
    <t>RRP Less VAT</t>
  </si>
  <si>
    <t>SCHEME PARAMETERS</t>
  </si>
  <si>
    <t>CASH SCHEME</t>
  </si>
  <si>
    <t>LOWER</t>
  </si>
  <si>
    <t>HELMET RRP</t>
  </si>
  <si>
    <t>NON VAT ITEMS</t>
  </si>
  <si>
    <t>VAT ITEMS</t>
  </si>
  <si>
    <t>TOTAL</t>
  </si>
  <si>
    <t>VAT Items RRP</t>
  </si>
  <si>
    <t>18 months</t>
  </si>
  <si>
    <t>2 years</t>
  </si>
  <si>
    <t>3 years</t>
  </si>
  <si>
    <t>4 years</t>
  </si>
  <si>
    <t>5 years</t>
  </si>
  <si>
    <t>LHE</t>
  </si>
  <si>
    <t>EOS</t>
  </si>
  <si>
    <t>Total Saving Lower</t>
  </si>
  <si>
    <t>6 years</t>
  </si>
  <si>
    <t>Total Saving Higher</t>
  </si>
  <si>
    <t>LHE SCHEME</t>
  </si>
  <si>
    <t>LHE Valuation</t>
  </si>
  <si>
    <t>fortnight = 39</t>
  </si>
  <si>
    <t>4-weekly = 19</t>
  </si>
  <si>
    <t>SCHEME TERM (MONTHS)</t>
  </si>
  <si>
    <t xml:space="preserve">These will tell you your monthly salary sacrifice deduction which Payroill will take in equal amounts over the term of your lease </t>
  </si>
  <si>
    <t>Please download the spreadsheet and save it locally to be able to amend it.</t>
  </si>
  <si>
    <t>Instructions on how to use this Cycle to Work calculation spreadsheet</t>
  </si>
  <si>
    <t>THIS SPREADSHEET WILL GIVE AN INDICATION OF YOUR SALARY SACRIFICE DEDUCTION DEPENDING ON TERM LENGTH AND LEASE AMOUNT YOU REQUEST</t>
  </si>
  <si>
    <t>Result</t>
  </si>
  <si>
    <r>
      <t xml:space="preserve">Click in the </t>
    </r>
    <r>
      <rPr>
        <b/>
        <sz val="11"/>
        <color indexed="40"/>
        <rFont val="Calibri"/>
        <family val="2"/>
      </rPr>
      <t>Scheme Perameters</t>
    </r>
    <r>
      <rPr>
        <sz val="11"/>
        <rFont val="Calibri"/>
        <family val="2"/>
      </rPr>
      <t xml:space="preserve"> tab</t>
    </r>
  </si>
  <si>
    <r>
      <t xml:space="preserve">Then click in the </t>
    </r>
    <r>
      <rPr>
        <b/>
        <sz val="11"/>
        <color indexed="10"/>
        <rFont val="Calibri"/>
        <family val="2"/>
      </rPr>
      <t>Cash Scheme</t>
    </r>
    <r>
      <rPr>
        <sz val="11"/>
        <rFont val="Calibri"/>
        <family val="2"/>
      </rPr>
      <t xml:space="preserve"> tab.  You need only look at the first table to view the figures in the pale yellow boxes.</t>
    </r>
  </si>
  <si>
    <t>STEPS:</t>
  </si>
  <si>
    <t>Note:</t>
  </si>
  <si>
    <t>Amend only the green cells as appropriate with the lease term you require and the cost of your selected bike and any selected helmet or safety equipment.  Please use the relevant green cell</t>
  </si>
  <si>
    <t>The saving will differ according to if you are a higher or lower rate taxpayer and your personal circumstances.  If you are unsure of this, please ask your Payroll contact for clarification</t>
  </si>
  <si>
    <r>
      <t>You will also see the actual net amount that your salary will be reduced by, thus showing the Tax and NI saving for you (</t>
    </r>
    <r>
      <rPr>
        <i/>
        <sz val="11"/>
        <rFont val="Calibri"/>
        <family val="2"/>
      </rPr>
      <t xml:space="preserve">remember this is an </t>
    </r>
    <r>
      <rPr>
        <b/>
        <i/>
        <sz val="11"/>
        <rFont val="Calibri"/>
        <family val="2"/>
      </rPr>
      <t>indication,</t>
    </r>
    <r>
      <rPr>
        <i/>
        <sz val="11"/>
        <rFont val="Calibri"/>
        <family val="2"/>
      </rPr>
      <t xml:space="preserve"> not an exact figure</t>
    </r>
    <r>
      <rPr>
        <sz val="11"/>
        <rFont val="Calibri"/>
        <family val="2"/>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</si>
</sst>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quot;£&quot;#,##0.000"/>
    <numFmt numFmtId="167" formatCode="0.000"/>
    <numFmt numFmtId="168" formatCode="_-* #,##0.0000_-;\-* #,##0.0000_-;_-* &quot;-&quot;??_-;_-@_-"/>
    <numFmt numFmtId="169" formatCode="_-* #,##0.0000_-;\-* #,##0.0000_-;_-* &quot;-&quot;????_-;_-@_-"/>
    <numFmt numFmtId="170" formatCode="&quot;£&quot;#,##0"/>
    <numFmt numFmtId="171" formatCode="&quot;£&quot;#,##0.0000"/>
    <numFmt numFmtId="172" formatCode="&quot;£&quot;#,##0.00000"/>
  </numFmts>
  <fonts count="53">
    <font>
      <sz val="10"/>
      <name val="Arial"/>
      <family val="0"/>
    </font>
    <font>
      <u val="single"/>
      <sz val="10"/>
      <color indexed="12"/>
      <name val="Arial"/>
      <family val="2"/>
    </font>
    <font>
      <u val="single"/>
      <sz val="10"/>
      <color indexed="36"/>
      <name val="Arial"/>
      <family val="2"/>
    </font>
    <font>
      <b/>
      <sz val="16"/>
      <name val="Arial"/>
      <family val="2"/>
    </font>
    <font>
      <b/>
      <sz val="14"/>
      <name val="Arial"/>
      <family val="2"/>
    </font>
    <font>
      <b/>
      <sz val="18"/>
      <name val="Arial"/>
      <family val="2"/>
    </font>
    <font>
      <sz val="8"/>
      <name val="Tahoma"/>
      <family val="2"/>
    </font>
    <font>
      <b/>
      <sz val="8"/>
      <name val="Tahoma"/>
      <family val="2"/>
    </font>
    <font>
      <sz val="8"/>
      <name val="Arial"/>
      <family val="2"/>
    </font>
    <font>
      <sz val="9"/>
      <name val="Tahoma"/>
      <family val="0"/>
    </font>
    <font>
      <b/>
      <sz val="9"/>
      <name val="Tahoma"/>
      <family val="0"/>
    </font>
    <font>
      <sz val="11"/>
      <name val="Calibri"/>
      <family val="2"/>
    </font>
    <font>
      <b/>
      <sz val="11"/>
      <color indexed="40"/>
      <name val="Calibri"/>
      <family val="2"/>
    </font>
    <font>
      <b/>
      <sz val="11"/>
      <color indexed="10"/>
      <name val="Calibri"/>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i/>
      <sz val="11"/>
      <name val="Calibri"/>
      <family val="2"/>
    </font>
    <font>
      <b/>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
      <patternFill patternType="solid">
        <fgColor indexed="45"/>
        <bgColor indexed="64"/>
      </patternFill>
    </fill>
    <fill>
      <patternFill patternType="solid">
        <fgColor indexed="11"/>
        <bgColor indexed="64"/>
      </patternFill>
    </fill>
    <fill>
      <patternFill patternType="solid">
        <fgColor theme="3" tint="0.59999001026153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
      <left style="thick"/>
      <right style="thin"/>
      <top style="thick"/>
      <bottom style="thin"/>
    </border>
    <border>
      <left style="thick"/>
      <right style="thin"/>
      <top style="thin"/>
      <bottom style="thin"/>
    </border>
    <border>
      <left>
        <color indexed="63"/>
      </left>
      <right>
        <color indexed="63"/>
      </right>
      <top>
        <color indexed="63"/>
      </top>
      <bottom style="thick"/>
    </border>
    <border>
      <left style="thick"/>
      <right style="thin"/>
      <top>
        <color indexed="63"/>
      </top>
      <bottom style="thin"/>
    </border>
    <border>
      <left style="thick"/>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1">
    <xf numFmtId="0" fontId="0" fillId="0" borderId="0" xfId="0" applyAlignment="1">
      <alignment/>
    </xf>
    <xf numFmtId="0" fontId="0" fillId="33" borderId="0" xfId="0" applyFill="1" applyAlignment="1">
      <alignment/>
    </xf>
    <xf numFmtId="0" fontId="0" fillId="33" borderId="0" xfId="0" applyFill="1" applyAlignment="1" applyProtection="1">
      <alignment/>
      <protection hidden="1"/>
    </xf>
    <xf numFmtId="164" fontId="0" fillId="33" borderId="0" xfId="0" applyNumberFormat="1" applyFill="1" applyAlignment="1">
      <alignment/>
    </xf>
    <xf numFmtId="0" fontId="3" fillId="33" borderId="0" xfId="0" applyFont="1" applyFill="1" applyAlignment="1">
      <alignment/>
    </xf>
    <xf numFmtId="164" fontId="3" fillId="33" borderId="0" xfId="0" applyNumberFormat="1" applyFont="1" applyFill="1" applyAlignment="1">
      <alignment/>
    </xf>
    <xf numFmtId="10" fontId="0" fillId="33" borderId="0" xfId="0" applyNumberFormat="1" applyFill="1" applyAlignment="1">
      <alignment/>
    </xf>
    <xf numFmtId="0" fontId="4" fillId="34" borderId="10" xfId="0" applyFont="1" applyFill="1" applyBorder="1" applyAlignment="1">
      <alignment/>
    </xf>
    <xf numFmtId="0" fontId="4" fillId="35" borderId="10" xfId="0" applyFont="1" applyFill="1" applyBorder="1" applyAlignment="1">
      <alignment/>
    </xf>
    <xf numFmtId="164" fontId="4" fillId="35" borderId="10" xfId="0" applyNumberFormat="1" applyFont="1" applyFill="1" applyBorder="1" applyAlignment="1">
      <alignment/>
    </xf>
    <xf numFmtId="0" fontId="4" fillId="36" borderId="10" xfId="0" applyFont="1" applyFill="1" applyBorder="1" applyAlignment="1">
      <alignment/>
    </xf>
    <xf numFmtId="164" fontId="4" fillId="36" borderId="10" xfId="0" applyNumberFormat="1" applyFont="1" applyFill="1" applyBorder="1" applyAlignment="1">
      <alignment/>
    </xf>
    <xf numFmtId="0" fontId="4" fillId="36" borderId="10" xfId="0" applyFont="1" applyFill="1" applyBorder="1" applyAlignment="1">
      <alignment horizontal="center"/>
    </xf>
    <xf numFmtId="0" fontId="4" fillId="37" borderId="10" xfId="0" applyFont="1" applyFill="1" applyBorder="1" applyAlignment="1">
      <alignment/>
    </xf>
    <xf numFmtId="164" fontId="4" fillId="37" borderId="10" xfId="0" applyNumberFormat="1" applyFont="1" applyFill="1" applyBorder="1" applyAlignment="1">
      <alignment/>
    </xf>
    <xf numFmtId="0" fontId="4" fillId="38" borderId="10" xfId="0" applyFont="1" applyFill="1" applyBorder="1" applyAlignment="1">
      <alignment/>
    </xf>
    <xf numFmtId="10" fontId="4" fillId="38" borderId="10" xfId="0" applyNumberFormat="1" applyFont="1" applyFill="1" applyBorder="1" applyAlignment="1">
      <alignment/>
    </xf>
    <xf numFmtId="10" fontId="4" fillId="34" borderId="10" xfId="0" applyNumberFormat="1" applyFont="1" applyFill="1" applyBorder="1" applyAlignment="1" applyProtection="1">
      <alignment/>
      <protection locked="0"/>
    </xf>
    <xf numFmtId="10" fontId="4" fillId="38" borderId="10" xfId="0" applyNumberFormat="1" applyFont="1" applyFill="1" applyBorder="1" applyAlignment="1">
      <alignment horizontal="right"/>
    </xf>
    <xf numFmtId="0" fontId="4" fillId="37" borderId="11" xfId="0" applyFont="1" applyFill="1" applyBorder="1" applyAlignment="1" applyProtection="1">
      <alignment/>
      <protection hidden="1"/>
    </xf>
    <xf numFmtId="0" fontId="4" fillId="37" borderId="12" xfId="0" applyFont="1" applyFill="1" applyBorder="1" applyAlignment="1" applyProtection="1">
      <alignment/>
      <protection hidden="1"/>
    </xf>
    <xf numFmtId="0" fontId="4" fillId="34" borderId="10" xfId="0" applyFont="1" applyFill="1" applyBorder="1" applyAlignment="1" quotePrefix="1">
      <alignment/>
    </xf>
    <xf numFmtId="0" fontId="5" fillId="33" borderId="13" xfId="0" applyFont="1" applyFill="1" applyBorder="1" applyAlignment="1">
      <alignment horizontal="center"/>
    </xf>
    <xf numFmtId="0" fontId="4" fillId="36" borderId="10" xfId="0" applyFont="1" applyFill="1" applyBorder="1" applyAlignment="1" applyProtection="1">
      <alignment/>
      <protection locked="0"/>
    </xf>
    <xf numFmtId="10" fontId="4" fillId="36" borderId="10" xfId="0" applyNumberFormat="1" applyFont="1" applyFill="1" applyBorder="1" applyAlignment="1" applyProtection="1">
      <alignment/>
      <protection locked="0"/>
    </xf>
    <xf numFmtId="164" fontId="4" fillId="36" borderId="10" xfId="0" applyNumberFormat="1" applyFont="1" applyFill="1" applyBorder="1" applyAlignment="1" applyProtection="1">
      <alignment/>
      <protection locked="0"/>
    </xf>
    <xf numFmtId="166" fontId="0" fillId="33" borderId="0" xfId="0" applyNumberFormat="1" applyFill="1" applyAlignment="1">
      <alignment/>
    </xf>
    <xf numFmtId="164" fontId="4" fillId="39" borderId="0" xfId="0" applyNumberFormat="1" applyFont="1" applyFill="1" applyBorder="1" applyAlignment="1">
      <alignment/>
    </xf>
    <xf numFmtId="164" fontId="0" fillId="39" borderId="0" xfId="0" applyNumberFormat="1" applyFill="1" applyBorder="1" applyAlignment="1">
      <alignment/>
    </xf>
    <xf numFmtId="0" fontId="0" fillId="39" borderId="0" xfId="0" applyFill="1" applyBorder="1" applyAlignment="1">
      <alignment/>
    </xf>
    <xf numFmtId="0" fontId="4" fillId="39" borderId="0" xfId="0" applyFont="1" applyFill="1" applyBorder="1" applyAlignment="1">
      <alignment/>
    </xf>
    <xf numFmtId="10" fontId="4" fillId="39" borderId="0" xfId="0" applyNumberFormat="1" applyFont="1" applyFill="1" applyBorder="1" applyAlignment="1">
      <alignment/>
    </xf>
    <xf numFmtId="0" fontId="4" fillId="39" borderId="0" xfId="0" applyFont="1" applyFill="1" applyBorder="1" applyAlignment="1" applyProtection="1">
      <alignment/>
      <protection hidden="1"/>
    </xf>
    <xf numFmtId="0" fontId="4" fillId="37" borderId="14" xfId="0" applyFont="1" applyFill="1" applyBorder="1" applyAlignment="1" applyProtection="1">
      <alignment/>
      <protection hidden="1"/>
    </xf>
    <xf numFmtId="164" fontId="4" fillId="35" borderId="15" xfId="0" applyNumberFormat="1" applyFont="1" applyFill="1" applyBorder="1" applyAlignment="1">
      <alignment/>
    </xf>
    <xf numFmtId="164" fontId="4" fillId="37" borderId="15" xfId="0" applyNumberFormat="1" applyFont="1" applyFill="1" applyBorder="1" applyAlignment="1">
      <alignment/>
    </xf>
    <xf numFmtId="10" fontId="4" fillId="38" borderId="15" xfId="0" applyNumberFormat="1" applyFont="1" applyFill="1" applyBorder="1" applyAlignment="1">
      <alignment/>
    </xf>
    <xf numFmtId="0" fontId="11" fillId="0" borderId="0" xfId="0" applyFont="1" applyAlignment="1">
      <alignment/>
    </xf>
    <xf numFmtId="0" fontId="32" fillId="0" borderId="0" xfId="0" applyFont="1" applyAlignment="1">
      <alignment/>
    </xf>
    <xf numFmtId="0" fontId="14" fillId="0" borderId="0" xfId="0" applyFont="1" applyAlignment="1">
      <alignment/>
    </xf>
    <xf numFmtId="0" fontId="5" fillId="33" borderId="1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R17"/>
  <sheetViews>
    <sheetView tabSelected="1" zoomScalePageLayoutView="0" workbookViewId="0" topLeftCell="A1">
      <selection activeCell="A14" sqref="A14"/>
    </sheetView>
  </sheetViews>
  <sheetFormatPr defaultColWidth="9.140625" defaultRowHeight="12.75"/>
  <cols>
    <col min="2" max="2" width="17.140625" style="0" customWidth="1"/>
  </cols>
  <sheetData>
    <row r="1" spans="1:18" s="39" customFormat="1" ht="15">
      <c r="A1" s="38" t="s">
        <v>41</v>
      </c>
      <c r="B1" s="38"/>
      <c r="C1" s="38"/>
      <c r="D1" s="38"/>
      <c r="E1" s="38"/>
      <c r="F1" s="38"/>
      <c r="G1" s="38"/>
      <c r="H1" s="38"/>
      <c r="I1" s="38"/>
      <c r="J1" s="38"/>
      <c r="K1" s="38"/>
      <c r="L1" s="38"/>
      <c r="M1" s="38"/>
      <c r="N1" s="38"/>
      <c r="O1" s="38"/>
      <c r="P1" s="38"/>
      <c r="Q1" s="38"/>
      <c r="R1" s="38"/>
    </row>
    <row r="2" spans="1:18" ht="14.25">
      <c r="A2" s="37"/>
      <c r="B2" s="37"/>
      <c r="C2" s="37"/>
      <c r="D2" s="37"/>
      <c r="E2" s="37"/>
      <c r="F2" s="37"/>
      <c r="G2" s="37"/>
      <c r="H2" s="37"/>
      <c r="I2" s="37"/>
      <c r="J2" s="37"/>
      <c r="K2" s="37"/>
      <c r="L2" s="37"/>
      <c r="M2" s="37"/>
      <c r="N2" s="37"/>
      <c r="O2" s="37"/>
      <c r="P2" s="37"/>
      <c r="Q2" s="37"/>
      <c r="R2" s="37"/>
    </row>
    <row r="3" spans="1:18" ht="14.25">
      <c r="A3" s="37" t="s">
        <v>42</v>
      </c>
      <c r="B3" s="37"/>
      <c r="C3" s="37"/>
      <c r="D3" s="37"/>
      <c r="E3" s="37"/>
      <c r="F3" s="37"/>
      <c r="G3" s="37"/>
      <c r="H3" s="37"/>
      <c r="I3" s="37"/>
      <c r="J3" s="37"/>
      <c r="K3" s="37"/>
      <c r="L3" s="37"/>
      <c r="M3" s="37"/>
      <c r="N3" s="37"/>
      <c r="O3" s="37"/>
      <c r="P3" s="37"/>
      <c r="Q3" s="37"/>
      <c r="R3" s="37"/>
    </row>
    <row r="4" spans="1:18" ht="14.25">
      <c r="A4" s="37"/>
      <c r="B4" s="37"/>
      <c r="C4" s="37"/>
      <c r="D4" s="37"/>
      <c r="E4" s="37"/>
      <c r="F4" s="37"/>
      <c r="G4" s="37"/>
      <c r="H4" s="37"/>
      <c r="I4" s="37"/>
      <c r="J4" s="37"/>
      <c r="K4" s="37"/>
      <c r="L4" s="37"/>
      <c r="M4" s="37"/>
      <c r="N4" s="37"/>
      <c r="O4" s="37"/>
      <c r="P4" s="37"/>
      <c r="Q4" s="37"/>
      <c r="R4" s="37"/>
    </row>
    <row r="5" spans="1:18" ht="14.25">
      <c r="A5" s="37" t="s">
        <v>46</v>
      </c>
      <c r="B5" s="37"/>
      <c r="C5" s="37"/>
      <c r="D5" s="37"/>
      <c r="E5" s="37"/>
      <c r="F5" s="37"/>
      <c r="G5" s="37"/>
      <c r="H5" s="37"/>
      <c r="I5" s="37"/>
      <c r="J5" s="37"/>
      <c r="K5" s="37"/>
      <c r="L5" s="37"/>
      <c r="M5" s="37"/>
      <c r="N5" s="37"/>
      <c r="O5" s="37"/>
      <c r="P5" s="37"/>
      <c r="Q5" s="37"/>
      <c r="R5" s="37"/>
    </row>
    <row r="6" spans="1:18" ht="14.25">
      <c r="A6" s="37">
        <v>1</v>
      </c>
      <c r="B6" s="37" t="s">
        <v>40</v>
      </c>
      <c r="C6" s="37"/>
      <c r="D6" s="37"/>
      <c r="E6" s="37"/>
      <c r="F6" s="37"/>
      <c r="G6" s="37"/>
      <c r="H6" s="37"/>
      <c r="I6" s="37"/>
      <c r="J6" s="37"/>
      <c r="K6" s="37"/>
      <c r="L6" s="37"/>
      <c r="M6" s="37"/>
      <c r="N6" s="37"/>
      <c r="O6" s="37"/>
      <c r="P6" s="37"/>
      <c r="Q6" s="37"/>
      <c r="R6" s="37"/>
    </row>
    <row r="7" spans="1:18" ht="14.25">
      <c r="A7" s="37">
        <v>2</v>
      </c>
      <c r="B7" s="37" t="s">
        <v>44</v>
      </c>
      <c r="C7" s="37"/>
      <c r="D7" s="37"/>
      <c r="E7" s="37"/>
      <c r="F7" s="37"/>
      <c r="G7" s="37"/>
      <c r="H7" s="37"/>
      <c r="I7" s="37"/>
      <c r="J7" s="37"/>
      <c r="K7" s="37"/>
      <c r="L7" s="37"/>
      <c r="M7" s="37"/>
      <c r="N7" s="37"/>
      <c r="O7" s="37"/>
      <c r="P7" s="37"/>
      <c r="Q7" s="37"/>
      <c r="R7" s="37"/>
    </row>
    <row r="8" spans="1:18" ht="14.25">
      <c r="A8" s="37">
        <v>3</v>
      </c>
      <c r="B8" s="37" t="s">
        <v>48</v>
      </c>
      <c r="C8" s="37"/>
      <c r="D8" s="37"/>
      <c r="E8" s="37"/>
      <c r="F8" s="37"/>
      <c r="G8" s="37"/>
      <c r="H8" s="37"/>
      <c r="I8" s="37"/>
      <c r="J8" s="37"/>
      <c r="K8" s="37"/>
      <c r="L8" s="37"/>
      <c r="M8" s="37"/>
      <c r="N8" s="37"/>
      <c r="O8" s="37"/>
      <c r="P8" s="37"/>
      <c r="Q8" s="37"/>
      <c r="R8" s="37"/>
    </row>
    <row r="9" spans="1:18" ht="14.25">
      <c r="A9" s="37">
        <v>4</v>
      </c>
      <c r="B9" s="37" t="s">
        <v>45</v>
      </c>
      <c r="C9" s="37"/>
      <c r="D9" s="37"/>
      <c r="E9" s="37"/>
      <c r="F9" s="37"/>
      <c r="G9" s="37"/>
      <c r="H9" s="37"/>
      <c r="I9" s="37"/>
      <c r="J9" s="37"/>
      <c r="K9" s="37"/>
      <c r="L9" s="37"/>
      <c r="M9" s="37"/>
      <c r="N9" s="37"/>
      <c r="O9" s="37"/>
      <c r="P9" s="37"/>
      <c r="Q9" s="37"/>
      <c r="R9" s="37"/>
    </row>
    <row r="10" spans="1:18" ht="14.25">
      <c r="A10" s="37" t="s">
        <v>43</v>
      </c>
      <c r="B10" s="37" t="s">
        <v>39</v>
      </c>
      <c r="C10" s="37"/>
      <c r="D10" s="37"/>
      <c r="E10" s="37"/>
      <c r="F10" s="37"/>
      <c r="G10" s="37"/>
      <c r="H10" s="37"/>
      <c r="I10" s="37"/>
      <c r="J10" s="37"/>
      <c r="K10" s="37"/>
      <c r="L10" s="37"/>
      <c r="M10" s="37"/>
      <c r="N10" s="37"/>
      <c r="O10" s="37"/>
      <c r="P10" s="37"/>
      <c r="Q10" s="37"/>
      <c r="R10" s="37"/>
    </row>
    <row r="11" spans="1:18" ht="14.25">
      <c r="A11" s="37" t="s">
        <v>43</v>
      </c>
      <c r="B11" s="37" t="s">
        <v>50</v>
      </c>
      <c r="C11" s="37"/>
      <c r="D11" s="37"/>
      <c r="E11" s="37"/>
      <c r="F11" s="37"/>
      <c r="G11" s="37"/>
      <c r="H11" s="37"/>
      <c r="I11" s="37"/>
      <c r="J11" s="37"/>
      <c r="K11" s="37"/>
      <c r="L11" s="37"/>
      <c r="M11" s="37"/>
      <c r="N11" s="37"/>
      <c r="O11" s="37"/>
      <c r="P11" s="37"/>
      <c r="Q11" s="37"/>
      <c r="R11" s="37"/>
    </row>
    <row r="12" spans="1:18" ht="14.25">
      <c r="A12" s="37"/>
      <c r="B12" s="37"/>
      <c r="C12" s="37"/>
      <c r="D12" s="37"/>
      <c r="E12" s="37"/>
      <c r="F12" s="37"/>
      <c r="G12" s="37"/>
      <c r="H12" s="37"/>
      <c r="I12" s="37"/>
      <c r="J12" s="37"/>
      <c r="K12" s="37"/>
      <c r="L12" s="37"/>
      <c r="M12" s="37"/>
      <c r="N12" s="37"/>
      <c r="O12" s="37"/>
      <c r="P12" s="37"/>
      <c r="Q12" s="37"/>
      <c r="R12" s="37"/>
    </row>
    <row r="13" spans="1:18" ht="14.25">
      <c r="A13" s="37" t="s">
        <v>47</v>
      </c>
      <c r="B13" s="37" t="s">
        <v>49</v>
      </c>
      <c r="C13" s="37"/>
      <c r="D13" s="37"/>
      <c r="E13" s="37"/>
      <c r="F13" s="37"/>
      <c r="G13" s="37"/>
      <c r="H13" s="37"/>
      <c r="I13" s="37"/>
      <c r="J13" s="37"/>
      <c r="K13" s="37"/>
      <c r="L13" s="37"/>
      <c r="M13" s="37"/>
      <c r="N13" s="37"/>
      <c r="O13" s="37"/>
      <c r="P13" s="37"/>
      <c r="Q13" s="37"/>
      <c r="R13" s="37"/>
    </row>
    <row r="14" spans="1:18" ht="14.25">
      <c r="A14" s="37"/>
      <c r="B14" s="37"/>
      <c r="C14" s="37"/>
      <c r="D14" s="37"/>
      <c r="E14" s="37"/>
      <c r="F14" s="37"/>
      <c r="G14" s="37"/>
      <c r="H14" s="37"/>
      <c r="I14" s="37"/>
      <c r="J14" s="37"/>
      <c r="K14" s="37"/>
      <c r="L14" s="37"/>
      <c r="M14" s="37"/>
      <c r="N14" s="37"/>
      <c r="O14" s="37"/>
      <c r="P14" s="37"/>
      <c r="Q14" s="37"/>
      <c r="R14" s="37"/>
    </row>
    <row r="15" spans="1:18" ht="14.25">
      <c r="A15" s="37"/>
      <c r="B15" s="37"/>
      <c r="C15" s="37"/>
      <c r="D15" s="37"/>
      <c r="E15" s="37"/>
      <c r="F15" s="37"/>
      <c r="G15" s="37"/>
      <c r="H15" s="37"/>
      <c r="I15" s="37"/>
      <c r="J15" s="37"/>
      <c r="K15" s="37"/>
      <c r="L15" s="37"/>
      <c r="M15" s="37"/>
      <c r="N15" s="37"/>
      <c r="O15" s="37"/>
      <c r="P15" s="37"/>
      <c r="Q15" s="37"/>
      <c r="R15" s="37"/>
    </row>
    <row r="16" spans="1:18" ht="14.25">
      <c r="A16" s="37"/>
      <c r="B16" s="37"/>
      <c r="C16" s="37"/>
      <c r="D16" s="37"/>
      <c r="E16" s="37"/>
      <c r="F16" s="37"/>
      <c r="G16" s="37"/>
      <c r="H16" s="37"/>
      <c r="I16" s="37"/>
      <c r="J16" s="37"/>
      <c r="K16" s="37"/>
      <c r="L16" s="37"/>
      <c r="M16" s="37"/>
      <c r="N16" s="37"/>
      <c r="O16" s="37"/>
      <c r="P16" s="37"/>
      <c r="Q16" s="37"/>
      <c r="R16" s="37"/>
    </row>
    <row r="17" spans="1:18" ht="14.25">
      <c r="A17" s="37"/>
      <c r="B17" s="37"/>
      <c r="C17" s="37"/>
      <c r="D17" s="37"/>
      <c r="E17" s="37"/>
      <c r="F17" s="37"/>
      <c r="G17" s="37"/>
      <c r="H17" s="37"/>
      <c r="I17" s="37"/>
      <c r="J17" s="37"/>
      <c r="K17" s="37"/>
      <c r="L17" s="37"/>
      <c r="M17" s="37"/>
      <c r="N17" s="37"/>
      <c r="O17" s="37"/>
      <c r="P17" s="37"/>
      <c r="Q17" s="37"/>
      <c r="R17" s="37"/>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B1:AQ116"/>
  <sheetViews>
    <sheetView showGridLines="0" zoomScale="160" zoomScaleNormal="160" zoomScalePageLayoutView="0" workbookViewId="0" topLeftCell="B1">
      <selection activeCell="B5" sqref="B5"/>
    </sheetView>
  </sheetViews>
  <sheetFormatPr defaultColWidth="9.140625" defaultRowHeight="12.75"/>
  <cols>
    <col min="1" max="1" width="12.421875" style="1" hidden="1" customWidth="1"/>
    <col min="2" max="2" width="9.140625" style="1" customWidth="1"/>
    <col min="3" max="3" width="48.28125" style="1" bestFit="1" customWidth="1"/>
    <col min="4" max="4" width="19.00390625" style="1" customWidth="1"/>
    <col min="5" max="5" width="9.28125" style="1" bestFit="1" customWidth="1"/>
    <col min="6" max="6" width="15.57421875" style="1" customWidth="1"/>
    <col min="7" max="7" width="9.140625" style="1" customWidth="1"/>
    <col min="8" max="8" width="48.00390625" style="1" customWidth="1"/>
    <col min="9" max="9" width="23.00390625" style="1" customWidth="1"/>
    <col min="10" max="10" width="27.421875" style="1" customWidth="1"/>
    <col min="11" max="11" width="13.7109375" style="1" customWidth="1"/>
    <col min="12" max="12" width="27.8515625" style="1" customWidth="1"/>
    <col min="13" max="13" width="27.421875" style="1" customWidth="1"/>
    <col min="14" max="14" width="23.00390625" style="1" customWidth="1"/>
    <col min="15" max="15" width="27.421875" style="1" customWidth="1"/>
    <col min="16" max="16" width="13.7109375" style="1" customWidth="1"/>
    <col min="17" max="17" width="27.7109375" style="1" customWidth="1"/>
    <col min="18" max="20" width="9.140625" style="1" customWidth="1"/>
    <col min="21" max="21" width="12.421875" style="1" customWidth="1"/>
    <col min="22" max="22" width="12.28125" style="1" customWidth="1"/>
    <col min="23" max="16384" width="9.140625" style="1" customWidth="1"/>
  </cols>
  <sheetData>
    <row r="1" spans="22:27" ht="13.5" thickBot="1">
      <c r="V1" s="2">
        <v>93.2</v>
      </c>
      <c r="W1" s="2">
        <v>12</v>
      </c>
      <c r="X1" s="2">
        <f>W1*V1</f>
        <v>1118.4</v>
      </c>
      <c r="Y1" s="2">
        <f>X1/1000</f>
        <v>1.1184</v>
      </c>
      <c r="Z1" s="3">
        <f>(D11)*Y1</f>
        <v>0</v>
      </c>
      <c r="AA1" s="1">
        <v>52</v>
      </c>
    </row>
    <row r="2" spans="3:27" ht="19.5" thickBot="1" thickTop="1">
      <c r="C2" s="7" t="s">
        <v>16</v>
      </c>
      <c r="D2" s="7"/>
      <c r="H2" s="27"/>
      <c r="I2" s="29"/>
      <c r="J2" s="29"/>
      <c r="K2" s="29"/>
      <c r="L2" s="29"/>
      <c r="M2" s="29"/>
      <c r="V2" s="2">
        <v>62.62</v>
      </c>
      <c r="W2" s="2">
        <v>18</v>
      </c>
      <c r="X2" s="2">
        <f>W2*V2</f>
        <v>1127.1599999999999</v>
      </c>
      <c r="Y2" s="2">
        <f>X2/1000</f>
        <v>1.12716</v>
      </c>
      <c r="Z2" s="3">
        <f>(D11)*Y2</f>
        <v>0</v>
      </c>
      <c r="AA2" s="1">
        <v>78</v>
      </c>
    </row>
    <row r="3" spans="3:27" ht="19.5" thickBot="1" thickTop="1">
      <c r="C3" s="7" t="s">
        <v>8</v>
      </c>
      <c r="D3" s="17">
        <v>0.2</v>
      </c>
      <c r="H3" s="29"/>
      <c r="I3" s="29"/>
      <c r="J3" s="29"/>
      <c r="K3" s="29"/>
      <c r="L3" s="29"/>
      <c r="M3" s="29"/>
      <c r="W3" s="2">
        <v>12</v>
      </c>
      <c r="X3" s="2">
        <v>1000</v>
      </c>
      <c r="Y3" s="2"/>
      <c r="Z3" s="3">
        <f>D12*Y1</f>
        <v>0</v>
      </c>
      <c r="AA3" s="1">
        <v>52</v>
      </c>
    </row>
    <row r="4" spans="3:27" ht="19.5" thickBot="1" thickTop="1">
      <c r="C4" s="7" t="s">
        <v>9</v>
      </c>
      <c r="D4" s="17">
        <v>0</v>
      </c>
      <c r="H4" s="30"/>
      <c r="I4" s="27"/>
      <c r="J4" s="29"/>
      <c r="K4" s="29"/>
      <c r="L4" s="29"/>
      <c r="M4" s="29"/>
      <c r="W4" s="2">
        <v>18</v>
      </c>
      <c r="X4" s="2">
        <f>X3/X2</f>
        <v>0.8871854927428228</v>
      </c>
      <c r="Y4" s="2"/>
      <c r="Z4" s="3">
        <f>D12*Y2</f>
        <v>0</v>
      </c>
      <c r="AA4" s="1">
        <v>78</v>
      </c>
    </row>
    <row r="5" spans="3:26" ht="19.5" thickBot="1" thickTop="1">
      <c r="C5" s="21" t="s">
        <v>12</v>
      </c>
      <c r="D5" s="17">
        <v>0.12</v>
      </c>
      <c r="H5" s="30"/>
      <c r="I5" s="27"/>
      <c r="J5" s="29"/>
      <c r="K5" s="29"/>
      <c r="L5" s="29"/>
      <c r="M5" s="29"/>
      <c r="W5" s="1">
        <v>9</v>
      </c>
      <c r="X5" s="1">
        <f>1-X4</f>
        <v>0.11281450725717723</v>
      </c>
      <c r="Y5" s="1">
        <v>1.06254</v>
      </c>
      <c r="Z5" s="1">
        <f>(D11)*Y5</f>
        <v>0</v>
      </c>
    </row>
    <row r="6" spans="3:26" ht="19.5" thickBot="1" thickTop="1">
      <c r="C6" s="21" t="s">
        <v>13</v>
      </c>
      <c r="D6" s="17">
        <v>0.02</v>
      </c>
      <c r="H6" s="30"/>
      <c r="I6" s="31"/>
      <c r="J6" s="29"/>
      <c r="K6" s="29"/>
      <c r="L6" s="29"/>
      <c r="M6" s="29"/>
      <c r="Z6" s="3"/>
    </row>
    <row r="7" spans="3:26" ht="19.5" thickBot="1" thickTop="1">
      <c r="C7" s="21" t="s">
        <v>10</v>
      </c>
      <c r="D7" s="17">
        <v>0.2</v>
      </c>
      <c r="H7" s="30"/>
      <c r="I7" s="27"/>
      <c r="J7" s="29"/>
      <c r="K7" s="29"/>
      <c r="L7" s="29"/>
      <c r="M7" s="29"/>
      <c r="W7" s="1">
        <v>13</v>
      </c>
      <c r="Y7" s="1">
        <v>1.1184</v>
      </c>
      <c r="Z7" s="3">
        <f>(D11)*Y7</f>
        <v>0</v>
      </c>
    </row>
    <row r="8" spans="3:39" ht="19.5" thickBot="1" thickTop="1">
      <c r="C8" s="21" t="s">
        <v>11</v>
      </c>
      <c r="D8" s="17">
        <v>0.4</v>
      </c>
      <c r="H8" s="30"/>
      <c r="I8" s="31"/>
      <c r="J8" s="29"/>
      <c r="K8" s="29"/>
      <c r="L8" s="29"/>
      <c r="M8" s="29"/>
      <c r="W8" s="1">
        <v>19</v>
      </c>
      <c r="Y8" s="2">
        <v>1.12716</v>
      </c>
      <c r="Z8" s="3">
        <f>(D11)*Y8</f>
        <v>0</v>
      </c>
      <c r="AK8" s="1">
        <v>18</v>
      </c>
      <c r="AM8" s="1">
        <v>18</v>
      </c>
    </row>
    <row r="9" spans="3:39" ht="19.5" thickBot="1" thickTop="1">
      <c r="C9" s="10" t="s">
        <v>38</v>
      </c>
      <c r="D9" s="23"/>
      <c r="H9" s="29"/>
      <c r="I9" s="29"/>
      <c r="J9" s="29"/>
      <c r="K9" s="29"/>
      <c r="L9" s="29"/>
      <c r="M9" s="29"/>
      <c r="W9" s="1">
        <v>13</v>
      </c>
      <c r="Y9" s="1">
        <v>1.1184</v>
      </c>
      <c r="Z9" s="3">
        <f>D12*Y9</f>
        <v>0</v>
      </c>
      <c r="AK9" s="1" t="s">
        <v>36</v>
      </c>
      <c r="AM9" s="1" t="s">
        <v>37</v>
      </c>
    </row>
    <row r="10" spans="3:39" ht="19.5" thickBot="1" thickTop="1">
      <c r="C10" s="10" t="s">
        <v>14</v>
      </c>
      <c r="D10" s="24">
        <v>0</v>
      </c>
      <c r="H10" s="27"/>
      <c r="I10" s="29"/>
      <c r="J10" s="29"/>
      <c r="K10" s="29"/>
      <c r="L10" s="29"/>
      <c r="M10" s="29"/>
      <c r="W10" s="1">
        <v>19</v>
      </c>
      <c r="Y10" s="2">
        <v>1.12716</v>
      </c>
      <c r="Z10" s="3">
        <f>D12*Y10</f>
        <v>0</v>
      </c>
      <c r="AK10" s="1">
        <v>12</v>
      </c>
      <c r="AM10" s="1">
        <v>12</v>
      </c>
    </row>
    <row r="11" spans="3:43" ht="19.5" thickBot="1" thickTop="1">
      <c r="C11" s="10" t="s">
        <v>23</v>
      </c>
      <c r="D11" s="25"/>
      <c r="E11" s="3"/>
      <c r="F11" s="3"/>
      <c r="H11" s="29"/>
      <c r="I11" s="29"/>
      <c r="J11" s="29"/>
      <c r="K11" s="29"/>
      <c r="L11" s="29"/>
      <c r="M11" s="29"/>
      <c r="AK11" s="1">
        <v>26</v>
      </c>
      <c r="AM11" s="1">
        <v>13</v>
      </c>
      <c r="AQ11" s="3">
        <f>D11/26</f>
        <v>0</v>
      </c>
    </row>
    <row r="12" spans="3:43" ht="19.5" thickBot="1" thickTop="1">
      <c r="C12" s="10" t="s">
        <v>19</v>
      </c>
      <c r="D12" s="25"/>
      <c r="E12" s="3"/>
      <c r="H12" s="29"/>
      <c r="I12" s="30"/>
      <c r="J12" s="30"/>
      <c r="K12" s="30"/>
      <c r="L12" s="30"/>
      <c r="M12" s="30"/>
      <c r="AQ12" s="3">
        <f>AQ11/0.9</f>
        <v>0</v>
      </c>
    </row>
    <row r="13" spans="4:21" ht="18.75" thickTop="1">
      <c r="D13" s="3"/>
      <c r="E13" s="3"/>
      <c r="H13" s="32"/>
      <c r="I13" s="27"/>
      <c r="J13" s="27"/>
      <c r="K13" s="31"/>
      <c r="L13" s="27"/>
      <c r="M13" s="31"/>
      <c r="U13" s="3"/>
    </row>
    <row r="14" spans="2:21" ht="24" hidden="1" thickBot="1" thickTop="1">
      <c r="B14" s="4"/>
      <c r="C14" s="22"/>
      <c r="D14" s="22"/>
      <c r="E14" s="22"/>
      <c r="F14" s="22"/>
      <c r="H14" s="33" t="s">
        <v>24</v>
      </c>
      <c r="I14" s="34">
        <f>IF($D$16&gt;=500,$D$16*0.21,$D$16*0.16)</f>
        <v>0</v>
      </c>
      <c r="J14" s="35">
        <f aca="true" t="shared" si="0" ref="J14:J19">$D$22-I14</f>
        <v>0</v>
      </c>
      <c r="K14" s="36" t="e">
        <f aca="true" t="shared" si="1" ref="K14:K19">J14/$D$11</f>
        <v>#DIV/0!</v>
      </c>
      <c r="L14" s="35">
        <f aca="true" t="shared" si="2" ref="L14:L19">$F$22-I14</f>
        <v>0</v>
      </c>
      <c r="M14" s="36" t="e">
        <f aca="true" t="shared" si="3" ref="M14:M19">L14/$D$11</f>
        <v>#DIV/0!</v>
      </c>
      <c r="U14" s="3"/>
    </row>
    <row r="15" spans="2:24" ht="21" hidden="1" thickBot="1" thickTop="1">
      <c r="B15" s="4"/>
      <c r="C15" s="10"/>
      <c r="D15" s="11"/>
      <c r="E15" s="12"/>
      <c r="F15" s="11"/>
      <c r="H15" s="20" t="s">
        <v>25</v>
      </c>
      <c r="I15" s="9">
        <f>IF($D$16&gt;=500,$D$16*0.17,$D$16*0.13)</f>
        <v>0</v>
      </c>
      <c r="J15" s="14">
        <f t="shared" si="0"/>
        <v>0</v>
      </c>
      <c r="K15" s="16" t="e">
        <f t="shared" si="1"/>
        <v>#DIV/0!</v>
      </c>
      <c r="L15" s="14">
        <f t="shared" si="2"/>
        <v>0</v>
      </c>
      <c r="M15" s="16" t="e">
        <f t="shared" si="3"/>
        <v>#DIV/0!</v>
      </c>
      <c r="U15" s="3"/>
      <c r="X15" s="3"/>
    </row>
    <row r="16" spans="2:23" ht="21" hidden="1" thickBot="1" thickTop="1">
      <c r="B16" s="4"/>
      <c r="C16" s="13"/>
      <c r="D16" s="14"/>
      <c r="E16" s="14"/>
      <c r="F16" s="14"/>
      <c r="H16" s="20" t="s">
        <v>26</v>
      </c>
      <c r="I16" s="9">
        <f>IF($D$16&gt;=500,$D$16*0.12,$D$16*0.08)</f>
        <v>0</v>
      </c>
      <c r="J16" s="14">
        <f t="shared" si="0"/>
        <v>0</v>
      </c>
      <c r="K16" s="16" t="e">
        <f t="shared" si="1"/>
        <v>#DIV/0!</v>
      </c>
      <c r="L16" s="14">
        <f t="shared" si="2"/>
        <v>0</v>
      </c>
      <c r="M16" s="16" t="e">
        <f t="shared" si="3"/>
        <v>#DIV/0!</v>
      </c>
      <c r="U16" s="5"/>
      <c r="W16" s="1" t="s">
        <v>30</v>
      </c>
    </row>
    <row r="17" spans="2:23" ht="21" hidden="1" thickBot="1" thickTop="1">
      <c r="B17" s="4"/>
      <c r="C17" s="13"/>
      <c r="D17" s="14"/>
      <c r="E17" s="14"/>
      <c r="F17" s="14"/>
      <c r="H17" s="20" t="s">
        <v>27</v>
      </c>
      <c r="I17" s="9">
        <f>IF($D$16&gt;=500,$D$16*0.07,$D$16*0.03)</f>
        <v>0</v>
      </c>
      <c r="J17" s="14">
        <f t="shared" si="0"/>
        <v>0</v>
      </c>
      <c r="K17" s="16" t="e">
        <f t="shared" si="1"/>
        <v>#DIV/0!</v>
      </c>
      <c r="L17" s="14">
        <f t="shared" si="2"/>
        <v>0</v>
      </c>
      <c r="M17" s="16" t="e">
        <f t="shared" si="3"/>
        <v>#DIV/0!</v>
      </c>
      <c r="U17" s="5"/>
      <c r="W17" s="3">
        <f>D16*0.07</f>
        <v>0</v>
      </c>
    </row>
    <row r="18" spans="2:23" ht="21" hidden="1" thickBot="1" thickTop="1">
      <c r="B18" s="4"/>
      <c r="C18" s="13"/>
      <c r="D18" s="14"/>
      <c r="E18" s="14"/>
      <c r="F18" s="14"/>
      <c r="H18" s="20" t="s">
        <v>28</v>
      </c>
      <c r="I18" s="9" t="b">
        <f>IF($D$16&gt;=500,$D$16*0.02,FALSE)</f>
        <v>0</v>
      </c>
      <c r="J18" s="14">
        <f t="shared" si="0"/>
        <v>0</v>
      </c>
      <c r="K18" s="16" t="e">
        <f t="shared" si="1"/>
        <v>#DIV/0!</v>
      </c>
      <c r="L18" s="14">
        <f t="shared" si="2"/>
        <v>0</v>
      </c>
      <c r="M18" s="16" t="e">
        <f t="shared" si="3"/>
        <v>#DIV/0!</v>
      </c>
      <c r="U18" s="5"/>
      <c r="W18" s="3">
        <f>D16*0.03</f>
        <v>0</v>
      </c>
    </row>
    <row r="19" spans="3:21" ht="21" hidden="1" thickBot="1" thickTop="1">
      <c r="C19" s="8"/>
      <c r="D19" s="9"/>
      <c r="E19" s="9"/>
      <c r="F19" s="9"/>
      <c r="H19" s="20" t="s">
        <v>32</v>
      </c>
      <c r="I19" s="9">
        <v>0</v>
      </c>
      <c r="J19" s="14">
        <f t="shared" si="0"/>
        <v>0</v>
      </c>
      <c r="K19" s="16" t="e">
        <f t="shared" si="1"/>
        <v>#DIV/0!</v>
      </c>
      <c r="L19" s="14">
        <f t="shared" si="2"/>
        <v>0</v>
      </c>
      <c r="M19" s="16" t="e">
        <f t="shared" si="3"/>
        <v>#DIV/0!</v>
      </c>
      <c r="U19" s="5"/>
    </row>
    <row r="20" spans="3:21" ht="18.75" hidden="1" thickBot="1" thickTop="1">
      <c r="C20" s="8"/>
      <c r="D20" s="9"/>
      <c r="E20" s="9"/>
      <c r="F20" s="9"/>
      <c r="U20" s="6"/>
    </row>
    <row r="21" spans="3:8" ht="18.75" hidden="1" thickBot="1" thickTop="1">
      <c r="C21" s="8"/>
      <c r="D21" s="9"/>
      <c r="E21" s="9"/>
      <c r="F21" s="9"/>
      <c r="H21" s="9" t="s">
        <v>34</v>
      </c>
    </row>
    <row r="22" spans="3:6" ht="18.75" hidden="1" thickBot="1" thickTop="1">
      <c r="C22" s="8"/>
      <c r="D22" s="9"/>
      <c r="E22" s="9"/>
      <c r="F22" s="9"/>
    </row>
    <row r="23" spans="3:21" s="4" customFormat="1" ht="21" hidden="1" thickBot="1" thickTop="1">
      <c r="C23" s="15"/>
      <c r="D23" s="16"/>
      <c r="E23" s="16"/>
      <c r="F23" s="16"/>
      <c r="G23" s="1"/>
      <c r="H23" s="1"/>
      <c r="I23" s="7" t="s">
        <v>35</v>
      </c>
      <c r="J23" s="7" t="s">
        <v>31</v>
      </c>
      <c r="K23" s="7" t="s">
        <v>5</v>
      </c>
      <c r="L23" s="7" t="s">
        <v>33</v>
      </c>
      <c r="M23" s="7" t="s">
        <v>5</v>
      </c>
      <c r="U23" s="3"/>
    </row>
    <row r="24" spans="3:21" s="4" customFormat="1" ht="21" hidden="1" thickBot="1" thickTop="1">
      <c r="C24" s="1"/>
      <c r="D24" s="1"/>
      <c r="E24" s="1"/>
      <c r="F24" s="1"/>
      <c r="G24" s="1"/>
      <c r="H24" s="19" t="s">
        <v>29</v>
      </c>
      <c r="I24" s="9">
        <f>D29</f>
        <v>0</v>
      </c>
      <c r="J24" s="14">
        <f>$D$32-I24</f>
        <v>0</v>
      </c>
      <c r="K24" s="16" t="e">
        <f>J24/$D$11</f>
        <v>#DIV/0!</v>
      </c>
      <c r="L24" s="14">
        <f>$F$32-I24</f>
        <v>0</v>
      </c>
      <c r="M24" s="16" t="e">
        <f>L24/$D$11</f>
        <v>#DIV/0!</v>
      </c>
      <c r="U24" s="3"/>
    </row>
    <row r="25" spans="3:21" s="4" customFormat="1" ht="21" hidden="1" thickBot="1" thickTop="1">
      <c r="C25" s="10"/>
      <c r="D25" s="12"/>
      <c r="E25" s="12"/>
      <c r="F25" s="10"/>
      <c r="G25" s="1"/>
      <c r="L25" s="1"/>
      <c r="U25" s="3"/>
    </row>
    <row r="26" spans="3:21" s="4" customFormat="1" ht="21" hidden="1" thickBot="1" thickTop="1">
      <c r="C26" s="13"/>
      <c r="D26" s="14"/>
      <c r="E26" s="14"/>
      <c r="F26" s="14"/>
      <c r="G26" s="1"/>
      <c r="L26" s="1"/>
      <c r="U26" s="5"/>
    </row>
    <row r="27" spans="3:21" s="4" customFormat="1" ht="21" hidden="1" thickBot="1" thickTop="1">
      <c r="C27" s="13"/>
      <c r="D27" s="14"/>
      <c r="E27" s="14"/>
      <c r="F27" s="14"/>
      <c r="G27" s="1"/>
      <c r="L27" s="1"/>
      <c r="U27" s="5"/>
    </row>
    <row r="28" spans="3:21" ht="21" hidden="1" thickBot="1" thickTop="1">
      <c r="C28" s="13"/>
      <c r="D28" s="14"/>
      <c r="E28" s="14"/>
      <c r="F28" s="14"/>
      <c r="U28" s="5"/>
    </row>
    <row r="29" spans="3:21" ht="21" hidden="1" thickBot="1" thickTop="1">
      <c r="C29" s="8"/>
      <c r="D29" s="9"/>
      <c r="E29" s="9"/>
      <c r="F29" s="9"/>
      <c r="U29" s="5"/>
    </row>
    <row r="30" spans="3:21" ht="18.75" hidden="1" thickBot="1" thickTop="1">
      <c r="C30" s="8"/>
      <c r="D30" s="9"/>
      <c r="E30" s="9"/>
      <c r="F30" s="9"/>
      <c r="U30" s="6"/>
    </row>
    <row r="31" spans="3:6" ht="18.75" hidden="1" thickBot="1" thickTop="1">
      <c r="C31" s="8"/>
      <c r="D31" s="9"/>
      <c r="E31" s="9"/>
      <c r="F31" s="9"/>
    </row>
    <row r="32" spans="3:6" ht="18.75" hidden="1" thickBot="1" thickTop="1">
      <c r="C32" s="8"/>
      <c r="D32" s="9"/>
      <c r="E32" s="9"/>
      <c r="F32" s="9"/>
    </row>
    <row r="33" spans="3:12" s="4" customFormat="1" ht="21" hidden="1" thickBot="1" thickTop="1">
      <c r="C33" s="15"/>
      <c r="D33" s="16"/>
      <c r="E33" s="16"/>
      <c r="F33" s="16"/>
      <c r="L33" s="1"/>
    </row>
    <row r="34" s="4" customFormat="1" ht="20.25" hidden="1" thickTop="1"/>
    <row r="35" spans="3:6" s="4" customFormat="1" ht="23.25" hidden="1" thickBot="1">
      <c r="C35" s="40"/>
      <c r="D35" s="40"/>
      <c r="E35" s="40"/>
      <c r="F35" s="40"/>
    </row>
    <row r="36" spans="3:16" s="4" customFormat="1" ht="21" hidden="1" thickBot="1" thickTop="1">
      <c r="C36" s="10"/>
      <c r="D36" s="11"/>
      <c r="E36" s="12"/>
      <c r="F36" s="11"/>
      <c r="M36" s="1"/>
      <c r="N36" s="1"/>
      <c r="O36" s="1"/>
      <c r="P36" s="1"/>
    </row>
    <row r="37" spans="3:6" ht="18.75" hidden="1" thickBot="1" thickTop="1">
      <c r="C37" s="13"/>
      <c r="D37" s="14"/>
      <c r="E37" s="14"/>
      <c r="F37" s="14"/>
    </row>
    <row r="38" spans="3:6" ht="18.75" hidden="1" thickBot="1" thickTop="1">
      <c r="C38" s="13"/>
      <c r="D38" s="14"/>
      <c r="E38" s="14"/>
      <c r="F38" s="14"/>
    </row>
    <row r="39" spans="3:6" ht="18.75" hidden="1" thickBot="1" thickTop="1">
      <c r="C39" s="13"/>
      <c r="D39" s="14"/>
      <c r="E39" s="14"/>
      <c r="F39" s="14"/>
    </row>
    <row r="40" spans="3:6" ht="18.75" hidden="1" thickBot="1" thickTop="1">
      <c r="C40" s="8"/>
      <c r="D40" s="9"/>
      <c r="E40" s="9"/>
      <c r="F40" s="9"/>
    </row>
    <row r="41" spans="3:6" ht="18.75" hidden="1" thickBot="1" thickTop="1">
      <c r="C41" s="8"/>
      <c r="D41" s="9"/>
      <c r="E41" s="9"/>
      <c r="F41" s="9"/>
    </row>
    <row r="42" spans="3:6" ht="18.75" hidden="1" thickBot="1" thickTop="1">
      <c r="C42" s="8"/>
      <c r="D42" s="9"/>
      <c r="E42" s="9"/>
      <c r="F42" s="9"/>
    </row>
    <row r="43" spans="3:6" ht="18.75" hidden="1" thickBot="1" thickTop="1">
      <c r="C43" s="8"/>
      <c r="D43" s="9"/>
      <c r="E43" s="9"/>
      <c r="F43" s="9"/>
    </row>
    <row r="44" spans="3:6" ht="18.75" hidden="1" thickBot="1" thickTop="1">
      <c r="C44" s="15"/>
      <c r="D44" s="18"/>
      <c r="E44" s="16"/>
      <c r="F44" s="18"/>
    </row>
    <row r="45" ht="13.5" hidden="1" thickBot="1" thickTop="1"/>
    <row r="46" spans="3:6" ht="18.75" hidden="1" thickBot="1" thickTop="1">
      <c r="C46" s="10"/>
      <c r="D46" s="12"/>
      <c r="E46" s="12"/>
      <c r="F46" s="10"/>
    </row>
    <row r="47" spans="3:6" ht="18.75" hidden="1" thickBot="1" thickTop="1">
      <c r="C47" s="13"/>
      <c r="D47" s="14"/>
      <c r="E47" s="14"/>
      <c r="F47" s="14"/>
    </row>
    <row r="48" spans="3:6" ht="18.75" hidden="1" thickBot="1" thickTop="1">
      <c r="C48" s="13"/>
      <c r="D48" s="14"/>
      <c r="E48" s="14"/>
      <c r="F48" s="14"/>
    </row>
    <row r="49" spans="3:6" ht="18.75" hidden="1" thickBot="1" thickTop="1">
      <c r="C49" s="13"/>
      <c r="D49" s="14"/>
      <c r="E49" s="14"/>
      <c r="F49" s="14"/>
    </row>
    <row r="50" spans="3:6" ht="18.75" hidden="1" thickBot="1" thickTop="1">
      <c r="C50" s="8"/>
      <c r="D50" s="9"/>
      <c r="E50" s="9"/>
      <c r="F50" s="9"/>
    </row>
    <row r="51" spans="3:6" ht="18.75" hidden="1" thickBot="1" thickTop="1">
      <c r="C51" s="8"/>
      <c r="D51" s="9"/>
      <c r="E51" s="9"/>
      <c r="F51" s="9"/>
    </row>
    <row r="52" spans="3:6" ht="18.75" hidden="1" thickBot="1" thickTop="1">
      <c r="C52" s="8"/>
      <c r="D52" s="9"/>
      <c r="E52" s="9"/>
      <c r="F52" s="9"/>
    </row>
    <row r="53" spans="3:6" ht="18.75" hidden="1" thickBot="1" thickTop="1">
      <c r="C53" s="8"/>
      <c r="D53" s="9"/>
      <c r="E53" s="9"/>
      <c r="F53" s="9"/>
    </row>
    <row r="54" spans="3:6" ht="18.75" hidden="1" thickBot="1" thickTop="1">
      <c r="C54" s="15"/>
      <c r="D54" s="18"/>
      <c r="E54" s="16"/>
      <c r="F54" s="18"/>
    </row>
    <row r="55" ht="12.75" hidden="1" thickTop="1"/>
    <row r="56" ht="12" hidden="1"/>
    <row r="57" spans="3:6" ht="23.25" hidden="1" thickBot="1">
      <c r="C57" s="40"/>
      <c r="D57" s="40"/>
      <c r="E57" s="40"/>
      <c r="F57" s="40"/>
    </row>
    <row r="58" spans="3:6" ht="18.75" hidden="1" thickBot="1" thickTop="1">
      <c r="C58" s="10"/>
      <c r="D58" s="11"/>
      <c r="E58" s="12"/>
      <c r="F58" s="11"/>
    </row>
    <row r="59" spans="3:6" ht="18.75" hidden="1" thickBot="1" thickTop="1">
      <c r="C59" s="13"/>
      <c r="D59" s="14"/>
      <c r="E59" s="14"/>
      <c r="F59" s="14"/>
    </row>
    <row r="60" spans="3:6" ht="18.75" hidden="1" thickBot="1" thickTop="1">
      <c r="C60" s="13"/>
      <c r="D60" s="14"/>
      <c r="E60" s="14"/>
      <c r="F60" s="14"/>
    </row>
    <row r="61" spans="3:6" ht="18.75" hidden="1" thickBot="1" thickTop="1">
      <c r="C61" s="13"/>
      <c r="D61" s="14"/>
      <c r="E61" s="14"/>
      <c r="F61" s="14"/>
    </row>
    <row r="62" spans="3:6" ht="18.75" hidden="1" thickBot="1" thickTop="1">
      <c r="C62" s="8"/>
      <c r="D62" s="9"/>
      <c r="E62" s="9"/>
      <c r="F62" s="9"/>
    </row>
    <row r="63" spans="3:6" ht="18.75" hidden="1" thickBot="1" thickTop="1">
      <c r="C63" s="8"/>
      <c r="D63" s="9"/>
      <c r="E63" s="9"/>
      <c r="F63" s="9"/>
    </row>
    <row r="64" spans="3:6" ht="18.75" hidden="1" thickBot="1" thickTop="1">
      <c r="C64" s="8"/>
      <c r="D64" s="9"/>
      <c r="E64" s="9"/>
      <c r="F64" s="9"/>
    </row>
    <row r="65" spans="3:6" ht="18.75" hidden="1" thickBot="1" thickTop="1">
      <c r="C65" s="8"/>
      <c r="D65" s="9"/>
      <c r="E65" s="9"/>
      <c r="F65" s="9"/>
    </row>
    <row r="66" spans="3:6" ht="18.75" hidden="1" thickBot="1" thickTop="1">
      <c r="C66" s="15"/>
      <c r="D66" s="18"/>
      <c r="E66" s="16"/>
      <c r="F66" s="18"/>
    </row>
    <row r="67" ht="13.5" hidden="1" thickBot="1" thickTop="1"/>
    <row r="68" spans="3:6" ht="18.75" hidden="1" thickBot="1" thickTop="1">
      <c r="C68" s="10"/>
      <c r="D68" s="12"/>
      <c r="E68" s="12"/>
      <c r="F68" s="10"/>
    </row>
    <row r="69" spans="3:6" ht="18.75" hidden="1" thickBot="1" thickTop="1">
      <c r="C69" s="13"/>
      <c r="D69" s="14"/>
      <c r="E69" s="14"/>
      <c r="F69" s="14"/>
    </row>
    <row r="70" spans="3:6" ht="18.75" hidden="1" thickBot="1" thickTop="1">
      <c r="C70" s="13"/>
      <c r="D70" s="14"/>
      <c r="E70" s="14"/>
      <c r="F70" s="14"/>
    </row>
    <row r="71" spans="3:6" ht="18.75" hidden="1" thickBot="1" thickTop="1">
      <c r="C71" s="13"/>
      <c r="D71" s="14"/>
      <c r="E71" s="14"/>
      <c r="F71" s="14"/>
    </row>
    <row r="72" spans="3:6" ht="18.75" hidden="1" thickBot="1" thickTop="1">
      <c r="C72" s="8"/>
      <c r="D72" s="9"/>
      <c r="E72" s="9"/>
      <c r="F72" s="9"/>
    </row>
    <row r="73" spans="3:6" ht="18.75" hidden="1" thickBot="1" thickTop="1">
      <c r="C73" s="8"/>
      <c r="D73" s="9"/>
      <c r="E73" s="9"/>
      <c r="F73" s="9"/>
    </row>
    <row r="74" spans="3:6" ht="18.75" hidden="1" thickBot="1" thickTop="1">
      <c r="C74" s="8"/>
      <c r="D74" s="9"/>
      <c r="E74" s="9"/>
      <c r="F74" s="9"/>
    </row>
    <row r="75" spans="3:6" ht="18.75" hidden="1" thickBot="1" thickTop="1">
      <c r="C75" s="8"/>
      <c r="D75" s="9"/>
      <c r="E75" s="9"/>
      <c r="F75" s="9"/>
    </row>
    <row r="76" spans="3:6" ht="18.75" hidden="1" thickBot="1" thickTop="1">
      <c r="C76" s="15"/>
      <c r="D76" s="18"/>
      <c r="E76" s="16"/>
      <c r="F76" s="18"/>
    </row>
    <row r="77" spans="3:6" ht="20.25" hidden="1" thickTop="1">
      <c r="C77" s="4"/>
      <c r="D77" s="4"/>
      <c r="E77" s="4"/>
      <c r="F77" s="4"/>
    </row>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75">
      <c r="D115" s="3"/>
    </row>
    <row r="116" ht="12.75">
      <c r="D116" s="3"/>
    </row>
  </sheetData>
  <sheetProtection/>
  <mergeCells count="2">
    <mergeCell ref="C57:F57"/>
    <mergeCell ref="C35:F3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B2:O29"/>
  <sheetViews>
    <sheetView zoomScale="85" zoomScaleNormal="85" zoomScalePageLayoutView="0" workbookViewId="0" topLeftCell="A1">
      <selection activeCell="C18" sqref="C18"/>
    </sheetView>
  </sheetViews>
  <sheetFormatPr defaultColWidth="9.140625" defaultRowHeight="12.75"/>
  <cols>
    <col min="1" max="1" width="9.140625" style="1" customWidth="1"/>
    <col min="2" max="2" width="48.00390625" style="1" bestFit="1" customWidth="1"/>
    <col min="3" max="3" width="23.00390625" style="1" bestFit="1" customWidth="1"/>
    <col min="4" max="4" width="27.421875" style="1" bestFit="1" customWidth="1"/>
    <col min="5" max="5" width="13.7109375" style="1" bestFit="1" customWidth="1"/>
    <col min="6" max="6" width="27.8515625" style="1" bestFit="1" customWidth="1"/>
    <col min="7" max="7" width="34.57421875" style="1" bestFit="1" customWidth="1"/>
    <col min="8" max="8" width="13.8515625" style="1" bestFit="1" customWidth="1"/>
    <col min="9" max="9" width="9.140625" style="1" customWidth="1"/>
    <col min="10" max="10" width="13.8515625" style="1" bestFit="1" customWidth="1"/>
    <col min="11" max="11" width="9.140625" style="1" customWidth="1"/>
    <col min="12" max="12" width="34.57421875" style="1" bestFit="1" customWidth="1"/>
    <col min="13" max="13" width="13.8515625" style="1" bestFit="1" customWidth="1"/>
    <col min="14" max="14" width="9.140625" style="1" customWidth="1"/>
    <col min="15" max="15" width="13.8515625" style="1" bestFit="1" customWidth="1"/>
    <col min="16" max="16384" width="9.140625" style="1" customWidth="1"/>
  </cols>
  <sheetData>
    <row r="1" ht="12.75"/>
    <row r="2" spans="2:15" ht="24" thickBot="1">
      <c r="B2" s="22" t="s">
        <v>22</v>
      </c>
      <c r="C2" s="22"/>
      <c r="D2" s="22"/>
      <c r="E2" s="22"/>
      <c r="G2" s="40" t="s">
        <v>21</v>
      </c>
      <c r="H2" s="40"/>
      <c r="I2" s="40"/>
      <c r="J2" s="40"/>
      <c r="L2" s="40" t="s">
        <v>20</v>
      </c>
      <c r="M2" s="40"/>
      <c r="N2" s="40"/>
      <c r="O2" s="40"/>
    </row>
    <row r="3" spans="2:15" ht="19.5" thickBot="1" thickTop="1">
      <c r="B3" s="10" t="s">
        <v>17</v>
      </c>
      <c r="C3" s="11" t="s">
        <v>18</v>
      </c>
      <c r="D3" s="12"/>
      <c r="E3" s="11" t="s">
        <v>7</v>
      </c>
      <c r="G3" s="10" t="s">
        <v>17</v>
      </c>
      <c r="H3" s="11" t="s">
        <v>18</v>
      </c>
      <c r="I3" s="12"/>
      <c r="J3" s="11" t="s">
        <v>7</v>
      </c>
      <c r="L3" s="10" t="s">
        <v>17</v>
      </c>
      <c r="M3" s="11" t="s">
        <v>18</v>
      </c>
      <c r="N3" s="12"/>
      <c r="O3" s="11" t="s">
        <v>7</v>
      </c>
    </row>
    <row r="4" spans="2:15" ht="19.5" thickBot="1" thickTop="1">
      <c r="B4" s="13" t="s">
        <v>0</v>
      </c>
      <c r="C4" s="14">
        <f aca="true" t="shared" si="0" ref="C4:C10">H4+M4</f>
        <v>0</v>
      </c>
      <c r="D4" s="14"/>
      <c r="E4" s="14">
        <f aca="true" t="shared" si="1" ref="E4:E10">J4+O4</f>
        <v>0</v>
      </c>
      <c r="F4" s="26"/>
      <c r="G4" s="13" t="s">
        <v>0</v>
      </c>
      <c r="H4" s="14">
        <f>ROUND(('Scheme Parameters'!$D$11)*(1-'Scheme Parameters'!$D$10),2)</f>
        <v>0</v>
      </c>
      <c r="I4" s="14"/>
      <c r="J4" s="14">
        <f>ROUND(('Scheme Parameters'!$D$11)*(1-'Scheme Parameters'!$D$10),2)</f>
        <v>0</v>
      </c>
      <c r="L4" s="13" t="s">
        <v>0</v>
      </c>
      <c r="M4" s="14">
        <f>ROUND(('Scheme Parameters'!$D$12)*(1-'Scheme Parameters'!$D$10),2)</f>
        <v>0</v>
      </c>
      <c r="N4" s="14"/>
      <c r="O4" s="14">
        <f>ROUND(('Scheme Parameters'!$D$12)*(1-'Scheme Parameters'!$D$10),2)</f>
        <v>0</v>
      </c>
    </row>
    <row r="5" spans="2:15" ht="19.5" thickBot="1" thickTop="1">
      <c r="B5" s="13" t="s">
        <v>6</v>
      </c>
      <c r="C5" s="14">
        <f t="shared" si="0"/>
        <v>0</v>
      </c>
      <c r="D5" s="14"/>
      <c r="E5" s="14">
        <f t="shared" si="1"/>
        <v>0</v>
      </c>
      <c r="G5" s="13" t="s">
        <v>6</v>
      </c>
      <c r="H5" s="14">
        <f>ROUND(H4-(H4/(1+$I$3)),2)*$I$4</f>
        <v>0</v>
      </c>
      <c r="I5" s="14"/>
      <c r="J5" s="14">
        <f>ROUND(J4-(J4/(1+$I$3)),2)*$I$4</f>
        <v>0</v>
      </c>
      <c r="L5" s="13" t="s">
        <v>6</v>
      </c>
      <c r="M5" s="14">
        <f>0</f>
        <v>0</v>
      </c>
      <c r="N5" s="14"/>
      <c r="O5" s="14">
        <f>0</f>
        <v>0</v>
      </c>
    </row>
    <row r="6" spans="2:15" ht="19.5" thickBot="1" thickTop="1">
      <c r="B6" s="13" t="s">
        <v>15</v>
      </c>
      <c r="C6" s="14">
        <f t="shared" si="0"/>
        <v>0</v>
      </c>
      <c r="D6" s="14"/>
      <c r="E6" s="14">
        <f t="shared" si="1"/>
        <v>0</v>
      </c>
      <c r="F6" s="3"/>
      <c r="G6" s="13" t="s">
        <v>15</v>
      </c>
      <c r="H6" s="14">
        <f>ROUND((H4-$I$58),2)</f>
        <v>0</v>
      </c>
      <c r="I6" s="14"/>
      <c r="J6" s="14">
        <f>ROUND((J4-$I$58),2)</f>
        <v>0</v>
      </c>
      <c r="L6" s="13" t="s">
        <v>15</v>
      </c>
      <c r="M6" s="14">
        <f>M4</f>
        <v>0</v>
      </c>
      <c r="N6" s="14"/>
      <c r="O6" s="14">
        <f>O4</f>
        <v>0</v>
      </c>
    </row>
    <row r="7" spans="2:15" ht="19.5" thickBot="1" thickTop="1">
      <c r="B7" s="8" t="s">
        <v>1</v>
      </c>
      <c r="C7" s="9" t="e">
        <f t="shared" si="0"/>
        <v>#DIV/0!</v>
      </c>
      <c r="D7" s="9"/>
      <c r="E7" s="9" t="e">
        <f t="shared" si="1"/>
        <v>#DIV/0!</v>
      </c>
      <c r="F7" s="3" t="e">
        <f>E7*12</f>
        <v>#DIV/0!</v>
      </c>
      <c r="G7" s="8" t="s">
        <v>1</v>
      </c>
      <c r="H7" s="9" t="e">
        <f>ROUND(($H$6/'Scheme Parameters'!$D$9),2)</f>
        <v>#DIV/0!</v>
      </c>
      <c r="I7" s="9"/>
      <c r="J7" s="9" t="e">
        <f>ROUND(($H$6/'Scheme Parameters'!$D$9),2)</f>
        <v>#DIV/0!</v>
      </c>
      <c r="L7" s="8" t="s">
        <v>1</v>
      </c>
      <c r="M7" s="9" t="e">
        <f>ROUND(((M6/'Scheme Parameters'!D9)*1.2),2)</f>
        <v>#DIV/0!</v>
      </c>
      <c r="N7" s="9"/>
      <c r="O7" s="9" t="e">
        <f>ROUND(((O6/'Scheme Parameters'!D9)*1.2),2)</f>
        <v>#DIV/0!</v>
      </c>
    </row>
    <row r="8" spans="2:15" ht="19.5" thickBot="1" thickTop="1">
      <c r="B8" s="8" t="s">
        <v>2</v>
      </c>
      <c r="C8" s="9" t="e">
        <f t="shared" si="0"/>
        <v>#DIV/0!</v>
      </c>
      <c r="D8" s="9"/>
      <c r="E8" s="9" t="e">
        <f t="shared" si="1"/>
        <v>#DIV/0!</v>
      </c>
      <c r="F8" s="3" t="e">
        <f>F7*0.138</f>
        <v>#DIV/0!</v>
      </c>
      <c r="G8" s="8" t="s">
        <v>2</v>
      </c>
      <c r="H8" s="9" t="e">
        <f>ROUND(H7-(H7*'Scheme Parameters'!$D$7)-(H7*'Scheme Parameters'!$D$5),2)</f>
        <v>#DIV/0!</v>
      </c>
      <c r="I8" s="9"/>
      <c r="J8" s="9" t="e">
        <f>ROUND(J7-(J7*'Scheme Parameters'!$D$8)-(J7*'Scheme Parameters'!$D$6),2)</f>
        <v>#DIV/0!</v>
      </c>
      <c r="L8" s="8" t="s">
        <v>2</v>
      </c>
      <c r="M8" s="9" t="e">
        <f>ROUND(M7-(M7*'Scheme Parameters'!$D$7)-(M7*'Scheme Parameters'!$D$5),2)</f>
        <v>#DIV/0!</v>
      </c>
      <c r="N8" s="9"/>
      <c r="O8" s="9" t="e">
        <f>ROUND(O7-(O7*'Scheme Parameters'!$D$8)-(O7*'Scheme Parameters'!$D$6),2)</f>
        <v>#DIV/0!</v>
      </c>
    </row>
    <row r="9" spans="2:15" ht="19.5" thickBot="1" thickTop="1">
      <c r="B9" s="8" t="s">
        <v>3</v>
      </c>
      <c r="C9" s="9" t="e">
        <f t="shared" si="0"/>
        <v>#DIV/0!</v>
      </c>
      <c r="D9" s="9"/>
      <c r="E9" s="9" t="e">
        <f t="shared" si="1"/>
        <v>#DIV/0!</v>
      </c>
      <c r="F9" s="3"/>
      <c r="G9" s="8" t="s">
        <v>3</v>
      </c>
      <c r="H9" s="9" t="e">
        <f>ROUND((H7*'Scheme Parameters'!$D$9*(1-('Scheme Parameters'!$D$5+'Scheme Parameters'!$D$7))),2)</f>
        <v>#DIV/0!</v>
      </c>
      <c r="I9" s="9"/>
      <c r="J9" s="9" t="e">
        <f>ROUND((J7*'Scheme Parameters'!$D$9*(1-('Scheme Parameters'!$D$6+'Scheme Parameters'!$D$8))),2)</f>
        <v>#DIV/0!</v>
      </c>
      <c r="L9" s="8" t="s">
        <v>3</v>
      </c>
      <c r="M9" s="9" t="e">
        <f>ROUND((M7*'Scheme Parameters'!$D$9*(1-('Scheme Parameters'!$D$5+'Scheme Parameters'!$D$7))),2)</f>
        <v>#DIV/0!</v>
      </c>
      <c r="N9" s="9"/>
      <c r="O9" s="9" t="e">
        <f>ROUND((O7*'Scheme Parameters'!$D$9*(1-('Scheme Parameters'!$D$6+'Scheme Parameters'!$D$8))),2)</f>
        <v>#DIV/0!</v>
      </c>
    </row>
    <row r="10" spans="2:15" ht="19.5" thickBot="1" thickTop="1">
      <c r="B10" s="8" t="s">
        <v>4</v>
      </c>
      <c r="C10" s="9" t="e">
        <f t="shared" si="0"/>
        <v>#DIV/0!</v>
      </c>
      <c r="D10" s="9"/>
      <c r="E10" s="9" t="e">
        <f t="shared" si="1"/>
        <v>#DIV/0!</v>
      </c>
      <c r="F10" s="3"/>
      <c r="G10" s="8" t="s">
        <v>4</v>
      </c>
      <c r="H10" s="9" t="e">
        <f>ROUND(('Scheme Parameters'!$D$11-H9),2)</f>
        <v>#DIV/0!</v>
      </c>
      <c r="I10" s="9"/>
      <c r="J10" s="9" t="e">
        <f>ROUND(('Scheme Parameters'!$D$11-J9),2)</f>
        <v>#DIV/0!</v>
      </c>
      <c r="L10" s="8" t="s">
        <v>4</v>
      </c>
      <c r="M10" s="9" t="e">
        <f>ROUND(('Scheme Parameters'!D12-M9),2)</f>
        <v>#DIV/0!</v>
      </c>
      <c r="N10" s="9"/>
      <c r="O10" s="9" t="e">
        <f>ROUND(('Scheme Parameters'!$D$12-O9),2)</f>
        <v>#DIV/0!</v>
      </c>
    </row>
    <row r="11" spans="2:15" ht="19.5" thickBot="1" thickTop="1">
      <c r="B11" s="15" t="s">
        <v>5</v>
      </c>
      <c r="C11" s="16" t="e">
        <f>IF('Scheme Parameters'!$D$12=0,'Cash Scheme'!H11,(H11+M11)/2)</f>
        <v>#DIV/0!</v>
      </c>
      <c r="D11" s="16"/>
      <c r="E11" s="16" t="e">
        <f>IF('Scheme Parameters'!$D$12=0,'Cash Scheme'!J11,(J11+O11)/2)</f>
        <v>#DIV/0!</v>
      </c>
      <c r="F11" s="3"/>
      <c r="G11" s="15" t="s">
        <v>5</v>
      </c>
      <c r="H11" s="18" t="e">
        <f>(H10/'Scheme Parameters'!$D$11)</f>
        <v>#DIV/0!</v>
      </c>
      <c r="I11" s="16"/>
      <c r="J11" s="18" t="e">
        <f>(J10/'Scheme Parameters'!$D$11)</f>
        <v>#DIV/0!</v>
      </c>
      <c r="L11" s="15" t="s">
        <v>5</v>
      </c>
      <c r="M11" s="18" t="e">
        <f>(M10/'Scheme Parameters'!$D$12)</f>
        <v>#DIV/0!</v>
      </c>
      <c r="N11" s="16"/>
      <c r="O11" s="18" t="e">
        <f>(O10/'Scheme Parameters'!$D$12)</f>
        <v>#DIV/0!</v>
      </c>
    </row>
    <row r="12" spans="3:5" ht="13.5" thickTop="1">
      <c r="C12" s="3"/>
      <c r="E12" s="3"/>
    </row>
    <row r="13" ht="12.75">
      <c r="C13" s="3"/>
    </row>
    <row r="14" spans="2:7" ht="18">
      <c r="B14" s="27"/>
      <c r="C14" s="28"/>
      <c r="D14" s="28"/>
      <c r="E14" s="29"/>
      <c r="F14" s="29"/>
      <c r="G14" s="29"/>
    </row>
    <row r="15" spans="2:7" ht="12.75">
      <c r="B15" s="29"/>
      <c r="C15" s="29"/>
      <c r="D15" s="29"/>
      <c r="E15" s="29"/>
      <c r="F15" s="29"/>
      <c r="G15" s="29"/>
    </row>
    <row r="16" spans="2:7" ht="18">
      <c r="B16" s="30"/>
      <c r="C16" s="27"/>
      <c r="D16" s="27"/>
      <c r="E16" s="27"/>
      <c r="F16" s="29"/>
      <c r="G16" s="29"/>
    </row>
    <row r="17" spans="2:7" ht="18">
      <c r="B17" s="30"/>
      <c r="C17" s="27"/>
      <c r="D17" s="27"/>
      <c r="E17" s="27"/>
      <c r="F17" s="29"/>
      <c r="G17" s="29"/>
    </row>
    <row r="18" spans="2:7" ht="18">
      <c r="B18" s="30"/>
      <c r="C18" s="31"/>
      <c r="D18" s="31"/>
      <c r="E18" s="31"/>
      <c r="F18" s="29"/>
      <c r="G18" s="29"/>
    </row>
    <row r="19" spans="2:7" ht="12.75">
      <c r="B19" s="29"/>
      <c r="C19" s="29"/>
      <c r="D19" s="29"/>
      <c r="E19" s="29"/>
      <c r="F19" s="29"/>
      <c r="G19" s="29"/>
    </row>
    <row r="20" spans="2:7" ht="18">
      <c r="B20" s="27"/>
      <c r="C20" s="29"/>
      <c r="D20" s="29"/>
      <c r="E20" s="29"/>
      <c r="F20" s="29"/>
      <c r="G20" s="29"/>
    </row>
    <row r="21" spans="2:7" ht="12.75">
      <c r="B21" s="29"/>
      <c r="C21" s="29"/>
      <c r="D21" s="29"/>
      <c r="E21" s="29"/>
      <c r="F21" s="29"/>
      <c r="G21" s="29"/>
    </row>
    <row r="22" spans="2:7" ht="18">
      <c r="B22" s="29"/>
      <c r="C22" s="30"/>
      <c r="D22" s="30"/>
      <c r="E22" s="30"/>
      <c r="F22" s="30"/>
      <c r="G22" s="30"/>
    </row>
    <row r="23" spans="2:7" ht="18">
      <c r="B23" s="32"/>
      <c r="C23" s="27"/>
      <c r="D23" s="27"/>
      <c r="E23" s="31"/>
      <c r="F23" s="27"/>
      <c r="G23" s="31"/>
    </row>
    <row r="24" spans="2:7" ht="18">
      <c r="B24" s="32"/>
      <c r="C24" s="27"/>
      <c r="D24" s="27"/>
      <c r="E24" s="31"/>
      <c r="F24" s="27"/>
      <c r="G24" s="31"/>
    </row>
    <row r="25" spans="2:7" ht="18">
      <c r="B25" s="32"/>
      <c r="C25" s="27"/>
      <c r="D25" s="27"/>
      <c r="E25" s="31"/>
      <c r="F25" s="27"/>
      <c r="G25" s="31"/>
    </row>
    <row r="26" spans="2:7" ht="18">
      <c r="B26" s="32"/>
      <c r="C26" s="27"/>
      <c r="D26" s="27"/>
      <c r="E26" s="31"/>
      <c r="F26" s="27"/>
      <c r="G26" s="31"/>
    </row>
    <row r="27" spans="2:7" ht="18">
      <c r="B27" s="32"/>
      <c r="C27" s="27"/>
      <c r="D27" s="27"/>
      <c r="E27" s="31"/>
      <c r="F27" s="27"/>
      <c r="G27" s="31"/>
    </row>
    <row r="28" spans="2:7" ht="18">
      <c r="B28" s="32"/>
      <c r="C28" s="27"/>
      <c r="D28" s="27"/>
      <c r="E28" s="31"/>
      <c r="F28" s="27"/>
      <c r="G28" s="31"/>
    </row>
    <row r="29" spans="2:7" ht="18">
      <c r="B29" s="32"/>
      <c r="C29" s="27"/>
      <c r="D29" s="27"/>
      <c r="E29" s="31"/>
      <c r="F29" s="27"/>
      <c r="G29" s="31"/>
    </row>
  </sheetData>
  <sheetProtection/>
  <mergeCells count="2">
    <mergeCell ref="G2:J2"/>
    <mergeCell ref="L2:O2"/>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Coker</dc:creator>
  <cp:keywords/>
  <dc:description/>
  <cp:lastModifiedBy>Kirsty Perry</cp:lastModifiedBy>
  <cp:lastPrinted>2018-09-18T09:54:03Z</cp:lastPrinted>
  <dcterms:created xsi:type="dcterms:W3CDTF">2010-12-14T19:24:45Z</dcterms:created>
  <dcterms:modified xsi:type="dcterms:W3CDTF">2021-01-14T15:20:57Z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